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.xml" ContentType="application/vnd.openxmlformats-officedocument.drawing+xml"/>
  <Override PartName="/xl/worksheets/sheet20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name="Cover" sheetId="1" state="visible" r:id="rId1"/>
    <sheet name="COF_Standalone" sheetId="2" state="visible" r:id="rId2"/>
    <sheet name="DFS_Standalone" sheetId="3" state="visible" r:id="rId3"/>
    <sheet name="Combined" sheetId="4" state="visible" r:id="rId4"/>
    <sheet name="S_U" sheetId="5" state="visible" r:id="rId5"/>
    <sheet name="PPA" sheetId="6" state="visible" r:id="rId6"/>
    <sheet name="IntAmort" sheetId="7" state="visible" r:id="rId7"/>
    <sheet name="Combined_BS" sheetId="8" state="visible" r:id="rId8"/>
    <sheet name="CreditWalk" sheetId="9" state="visible" r:id="rId9"/>
    <sheet name="Synergies" sheetId="10" state="visible" r:id="rId10"/>
    <sheet name="A_D" sheetId="11" state="visible" r:id="rId11"/>
    <sheet name="AVP" sheetId="12" state="visible" r:id="rId12"/>
    <sheet name="DataTables" sheetId="13" state="visible" r:id="rId13"/>
    <sheet name="Contribution" sheetId="14" state="visible" r:id="rId14"/>
    <sheet name="Sensi" sheetId="15" state="visible" r:id="rId15"/>
    <sheet name="CompStructs" sheetId="16" state="visible" r:id="rId16"/>
    <sheet name="Precedents" sheetId="17" state="visible" r:id="rId17"/>
    <sheet name="Comps" sheetId="18" state="visible" r:id="rId18"/>
    <sheet name="Football" sheetId="19" state="visible" r:id="rId19"/>
    <sheet name="Methodology" sheetId="20" state="visible" r:id="rId20"/>
  </sheets>
  <definedNames>
    <definedName name="Case">Cover!$B$19</definedName>
    <definedName name="ExchangeRatio">Cover!$B$10</definedName>
    <definedName name="OfferValue">Cover!$B$13</definedName>
    <definedName name="Premium">Cover!$B$12</definedName>
    <definedName name="SynergiesActive">Cover!$B$30</definedName>
    <definedName name="TaxRate">Cover!$B$40</definedName>
    <definedName name="UnaffectedPrice">Cover!$B$11</definedName>
    <definedName name="_xlnm.Print_Area" localSheetId="0">'Cover'!$A$1:$E$42</definedName>
    <definedName name="_xlnm.Print_Area" localSheetId="1">'COF_Standalone'!$A$1:$E$22</definedName>
    <definedName name="_xlnm.Print_Area" localSheetId="2">'DFS_Standalone'!$A$1:$E$21</definedName>
    <definedName name="_xlnm.Print_Area" localSheetId="3">'Combined'!$A$1:$E$21</definedName>
    <definedName name="_xlnm.Print_Area" localSheetId="4">'S_U'!$A$1:$E$31</definedName>
    <definedName name="_xlnm.Print_Area" localSheetId="5">'PPA'!$A$1:$F$25</definedName>
    <definedName name="_xlnm.Print_Area" localSheetId="6">'IntAmort'!$A$1:$K$24</definedName>
    <definedName name="_xlnm.Print_Area" localSheetId="7">'Combined_BS'!$A$1:$F$37</definedName>
    <definedName name="_xlnm.Print_Area" localSheetId="8">'CreditWalk'!$A$1:$H$19</definedName>
    <definedName name="_xlnm.Print_Area" localSheetId="9">'Synergies'!$A$1:$L$33</definedName>
    <definedName name="_xlnm.Print_Area" localSheetId="10">'A_D'!$A$1:$E$48</definedName>
    <definedName name="_xlnm.Print_Area" localSheetId="11">'AVP'!$A$1:$H$22</definedName>
    <definedName name="_xlnm.Print_Area" localSheetId="12">'DataTables'!$A$1:$E$36</definedName>
    <definedName name="_xlnm.Print_Area" localSheetId="13">'Contribution'!$A$1:$E$27</definedName>
    <definedName name="_xlnm.Print_Area" localSheetId="14">'Sensi'!$A$1:$E$16</definedName>
    <definedName name="_xlnm.Print_Area" localSheetId="15">'CompStructs'!$A$1:$E$35</definedName>
    <definedName name="_xlnm.Print_Area" localSheetId="16">'Precedents'!$A$1:$K$18</definedName>
    <definedName name="_xlnm.Print_Area" localSheetId="17">'Comps'!$A$1:$I$24</definedName>
    <definedName name="_xlnm.Print_Area" localSheetId="18">'Football'!$A$1:$J$33</definedName>
    <definedName name="_xlnm.Print_Area" localSheetId="19">'Methodology'!$A$1:$E$38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_);(#,##0.0)"/>
    <numFmt numFmtId="165" formatCode="0.0%_);(0.0%)"/>
    <numFmt numFmtId="166" formatCode="&quot;$&quot;#,##0.0_);(&quot;$&quot;#,##0.0)"/>
    <numFmt numFmtId="167" formatCode="&quot;$&quot;0.00"/>
    <numFmt numFmtId="168" formatCode="#,##0.0&quot;x&quot;"/>
  </numFmts>
  <fonts count="25">
    <font>
      <name val="Calibri"/>
      <family val="2"/>
      <color theme="1"/>
      <sz val="11"/>
      <scheme val="minor"/>
    </font>
    <font>
      <name val="Arial"/>
      <family val="2"/>
      <b val="1"/>
      <color rgb="FF002D72"/>
      <sz val="14"/>
    </font>
    <font>
      <name val="Arial"/>
      <family val="2"/>
      <i val="1"/>
      <color rgb="FF595959"/>
      <sz val="9"/>
    </font>
    <font>
      <name val="Arial"/>
      <family val="2"/>
      <color theme="1"/>
      <sz val="10"/>
    </font>
    <font>
      <name val="Arial"/>
      <family val="2"/>
      <b val="1"/>
      <color rgb="FF002D72"/>
      <sz val="10"/>
    </font>
    <font>
      <name val="Arial"/>
      <family val="2"/>
      <color rgb="FF0000FF"/>
      <sz val="10"/>
    </font>
    <font>
      <name val="Arial"/>
      <family val="2"/>
      <b val="1"/>
      <color rgb="FF0000FF"/>
      <sz val="10"/>
    </font>
    <font>
      <name val="Arial"/>
      <family val="2"/>
      <b val="1"/>
      <color theme="1"/>
      <sz val="10"/>
    </font>
    <font>
      <name val="Arial"/>
      <family val="2"/>
      <b val="1"/>
      <color rgb="FFFFFFFF"/>
      <sz val="10"/>
    </font>
    <font>
      <name val="Arial"/>
      <family val="2"/>
      <color rgb="FF008000"/>
      <sz val="10"/>
    </font>
    <font>
      <name val="Arial"/>
      <family val="2"/>
      <i val="1"/>
      <color rgb="FF595959"/>
      <sz val="8"/>
    </font>
    <font>
      <name val="Arial"/>
      <family val="2"/>
      <i val="1"/>
      <color theme="1"/>
      <sz val="10"/>
    </font>
    <font>
      <name val="Arial"/>
      <family val="2"/>
      <i val="1"/>
      <color rgb="FF595959"/>
      <sz val="10"/>
    </font>
    <font>
      <name val="Arial"/>
      <family val="2"/>
      <i val="1"/>
      <color rgb="FF002D72"/>
      <sz val="10"/>
    </font>
    <font>
      <name val="Arial"/>
      <color rgb="000000FF"/>
      <sz val="10"/>
    </font>
    <font>
      <name val="Arial"/>
      <b val="1"/>
      <color rgb="000000FF"/>
      <sz val="10"/>
    </font>
    <font>
      <name val="Arial"/>
      <b val="1"/>
      <color rgb="00FF0000"/>
      <sz val="10"/>
    </font>
    <font>
      <name val="Arial"/>
      <color rgb="00000000"/>
      <sz val="10"/>
    </font>
    <font>
      <name val="Arial"/>
      <color rgb="00FF0000"/>
      <sz val="10"/>
    </font>
    <font>
      <name val="Arial"/>
      <color rgb="00008000"/>
      <sz val="10"/>
    </font>
    <font>
      <name val="Arial"/>
      <b val="1"/>
      <color rgb="00000000"/>
      <sz val="10"/>
    </font>
    <font>
      <name val="Arial"/>
      <b val="1"/>
      <color rgb="00008000"/>
      <sz val="10"/>
    </font>
    <font>
      <name val="Arial"/>
      <b val="1"/>
      <color rgb="00002D72"/>
      <sz val="11"/>
    </font>
    <font>
      <name val="Arial"/>
      <sz val="10"/>
    </font>
    <font>
      <name val="Arial"/>
      <i val="1"/>
      <color rgb="006B6B6B"/>
      <sz val="8"/>
    </font>
  </fonts>
  <fills count="6">
    <fill>
      <patternFill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D7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4" fillId="2" borderId="0" applyAlignment="1" pivotButton="0" quotePrefix="0" xfId="0">
      <alignment vertical="center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37" fontId="5" fillId="0" borderId="0" applyAlignment="1" pivotButton="0" quotePrefix="0" xfId="0">
      <alignment horizontal="right" vertical="center"/>
    </xf>
    <xf numFmtId="0" fontId="6" fillId="3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/>
    </xf>
    <xf numFmtId="164" fontId="3" fillId="0" borderId="0" applyAlignment="1" pivotButton="0" quotePrefix="0" xfId="0">
      <alignment horizontal="right" vertical="center"/>
    </xf>
    <xf numFmtId="0" fontId="8" fillId="4" borderId="0" applyAlignment="1" pivotButton="0" quotePrefix="0" xfId="0">
      <alignment horizontal="center" vertical="center"/>
    </xf>
    <xf numFmtId="164" fontId="9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 indent="1"/>
    </xf>
    <xf numFmtId="166" fontId="9" fillId="0" borderId="0" applyAlignment="1" pivotButton="0" quotePrefix="0" xfId="0">
      <alignment horizontal="right" vertical="center"/>
    </xf>
    <xf numFmtId="166" fontId="5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indent="1"/>
    </xf>
    <xf numFmtId="166" fontId="7" fillId="0" borderId="1" applyAlignment="1" pivotButton="0" quotePrefix="0" xfId="0">
      <alignment horizontal="right" vertical="center"/>
    </xf>
    <xf numFmtId="166" fontId="3" fillId="0" borderId="0" applyAlignment="1" pivotButton="0" quotePrefix="0" xfId="0">
      <alignment horizontal="right" vertical="center"/>
    </xf>
    <xf numFmtId="166" fontId="7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37" fontId="3" fillId="0" borderId="0" applyAlignment="1" pivotButton="0" quotePrefix="0" xfId="0">
      <alignment horizontal="right" vertical="center"/>
    </xf>
    <xf numFmtId="37" fontId="7" fillId="0" borderId="1" applyAlignment="1" pivotButton="0" quotePrefix="0" xfId="0">
      <alignment horizontal="right" vertical="center"/>
    </xf>
    <xf numFmtId="37" fontId="7" fillId="0" borderId="0" applyAlignment="1" pivotButton="0" quotePrefix="0" xfId="0">
      <alignment horizontal="right" vertical="center"/>
    </xf>
    <xf numFmtId="167" fontId="3" fillId="0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 indent="1"/>
    </xf>
    <xf numFmtId="165" fontId="3" fillId="0" borderId="0" applyAlignment="1" pivotButton="0" quotePrefix="0" xfId="0">
      <alignment horizontal="right" vertical="center"/>
    </xf>
    <xf numFmtId="168" fontId="3" fillId="0" borderId="0" applyAlignment="1" pivotButton="0" quotePrefix="0" xfId="0">
      <alignment horizontal="right" vertical="center"/>
    </xf>
    <xf numFmtId="165" fontId="7" fillId="0" borderId="0" applyAlignment="1" pivotButton="0" quotePrefix="0" xfId="0">
      <alignment horizontal="right" vertical="center"/>
    </xf>
    <xf numFmtId="164" fontId="7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vertical="center"/>
    </xf>
    <xf numFmtId="37" fontId="9" fillId="0" borderId="0" applyAlignment="1" pivotButton="0" quotePrefix="0" xfId="0">
      <alignment horizontal="right" vertical="center"/>
    </xf>
    <xf numFmtId="0" fontId="8" fillId="4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165" fontId="9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vertical="center"/>
    </xf>
    <xf numFmtId="37" fontId="4" fillId="0" borderId="2" applyAlignment="1" pivotButton="0" quotePrefix="0" xfId="0">
      <alignment horizontal="right" vertical="center"/>
    </xf>
    <xf numFmtId="0" fontId="12" fillId="0" borderId="0" applyAlignment="1" pivotButton="0" quotePrefix="0" xfId="0">
      <alignment vertical="center"/>
    </xf>
    <xf numFmtId="7" fontId="6" fillId="0" borderId="0" applyAlignment="1" pivotButton="0" quotePrefix="0" xfId="0">
      <alignment horizontal="right" vertical="center"/>
    </xf>
    <xf numFmtId="7" fontId="6" fillId="5" borderId="0" applyAlignment="1" pivotButton="0" quotePrefix="0" xfId="0">
      <alignment horizontal="right" vertical="center"/>
    </xf>
    <xf numFmtId="165" fontId="3" fillId="5" borderId="0" applyAlignment="1" pivotButton="0" quotePrefix="0" xfId="0">
      <alignment horizontal="right" vertical="center"/>
    </xf>
    <xf numFmtId="164" fontId="5" fillId="5" borderId="0" applyAlignment="1" pivotButton="0" quotePrefix="0" xfId="0">
      <alignment horizontal="right" vertical="center"/>
    </xf>
    <xf numFmtId="166" fontId="3" fillId="5" borderId="0" applyAlignment="1" pivotButton="0" quotePrefix="0" xfId="0">
      <alignment horizontal="right" vertical="center"/>
    </xf>
    <xf numFmtId="166" fontId="5" fillId="5" borderId="0" applyAlignment="1" pivotButton="0" quotePrefix="0" xfId="0">
      <alignment horizontal="right" vertical="center"/>
    </xf>
    <xf numFmtId="168" fontId="3" fillId="5" borderId="0" applyAlignment="1" pivotButton="0" quotePrefix="0" xfId="0">
      <alignment horizontal="right" vertical="center"/>
    </xf>
    <xf numFmtId="0" fontId="8" fillId="4" borderId="0" applyAlignment="1" pivotButton="0" quotePrefix="0" xfId="0">
      <alignment horizontal="left" vertical="center"/>
    </xf>
    <xf numFmtId="165" fontId="5" fillId="5" borderId="0" applyAlignment="1" pivotButton="0" quotePrefix="0" xfId="0">
      <alignment horizontal="right" vertical="center"/>
    </xf>
    <xf numFmtId="164" fontId="7" fillId="0" borderId="1" applyAlignment="1" pivotButton="0" quotePrefix="0" xfId="0">
      <alignment horizontal="right" vertical="center"/>
    </xf>
    <xf numFmtId="167" fontId="7" fillId="0" borderId="0" applyAlignment="1" pivotButton="0" quotePrefix="0" xfId="0">
      <alignment horizontal="right" vertical="center"/>
    </xf>
    <xf numFmtId="167" fontId="9" fillId="0" borderId="0" applyAlignment="1" pivotButton="0" quotePrefix="0" xfId="0">
      <alignment horizontal="right" vertical="center"/>
    </xf>
    <xf numFmtId="168" fontId="5" fillId="0" borderId="0" applyAlignment="1" pivotButton="0" quotePrefix="0" xfId="0">
      <alignment horizontal="right" vertical="center"/>
    </xf>
    <xf numFmtId="165" fontId="7" fillId="0" borderId="1" applyAlignment="1" pivotButton="0" quotePrefix="0" xfId="0">
      <alignment horizontal="right" vertical="center"/>
    </xf>
    <xf numFmtId="168" fontId="7" fillId="0" borderId="1" applyAlignment="1" pivotButton="0" quotePrefix="0" xfId="0">
      <alignment horizontal="right" vertical="center"/>
    </xf>
    <xf numFmtId="166" fontId="6" fillId="0" borderId="0" applyAlignment="1" pivotButton="0" quotePrefix="0" xfId="0">
      <alignment horizontal="right" vertical="center"/>
    </xf>
    <xf numFmtId="165" fontId="6" fillId="0" borderId="0" applyAlignment="1" pivotButton="0" quotePrefix="0" xfId="0">
      <alignment horizontal="right" vertical="center"/>
    </xf>
    <xf numFmtId="168" fontId="6" fillId="0" borderId="0" applyAlignment="1" pivotButton="0" quotePrefix="0" xfId="0">
      <alignment horizontal="right" vertical="center"/>
    </xf>
    <xf numFmtId="7" fontId="5" fillId="0" borderId="0" applyAlignment="1" pivotButton="0" quotePrefix="0" xfId="0">
      <alignment horizontal="right" vertical="center"/>
    </xf>
    <xf numFmtId="7" fontId="3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164" fontId="14" fillId="0" borderId="0" applyAlignment="1" pivotButton="0" quotePrefix="0" xfId="0">
      <alignment horizontal="right" vertical="center"/>
    </xf>
    <xf numFmtId="165" fontId="14" fillId="0" borderId="0" applyAlignment="1" pivotButton="0" quotePrefix="0" xfId="0">
      <alignment horizontal="right" vertical="center"/>
    </xf>
    <xf numFmtId="37" fontId="14" fillId="0" borderId="0" applyAlignment="1" pivotButton="0" quotePrefix="0" xfId="0">
      <alignment horizontal="right" vertical="center"/>
    </xf>
    <xf numFmtId="37" fontId="15" fillId="3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right" vertical="center"/>
    </xf>
    <xf numFmtId="164" fontId="17" fillId="0" borderId="0" applyAlignment="1" pivotButton="0" quotePrefix="0" xfId="0">
      <alignment horizontal="right" vertical="center"/>
    </xf>
    <xf numFmtId="164" fontId="18" fillId="0" borderId="0" applyAlignment="1" pivotButton="0" quotePrefix="0" xfId="0">
      <alignment horizontal="right" vertical="center"/>
    </xf>
    <xf numFmtId="164" fontId="19" fillId="0" borderId="0" applyAlignment="1" pivotButton="0" quotePrefix="0" xfId="0">
      <alignment horizontal="right" vertical="center"/>
    </xf>
    <xf numFmtId="166" fontId="19" fillId="0" borderId="0" applyAlignment="1" pivotButton="0" quotePrefix="0" xfId="0">
      <alignment horizontal="right" vertical="center"/>
    </xf>
    <xf numFmtId="166" fontId="14" fillId="0" borderId="0" applyAlignment="1" pivotButton="0" quotePrefix="0" xfId="0">
      <alignment horizontal="right" vertical="center"/>
    </xf>
    <xf numFmtId="166" fontId="20" fillId="0" borderId="1" applyAlignment="1" pivotButton="0" quotePrefix="0" xfId="0">
      <alignment horizontal="right" vertical="center"/>
    </xf>
    <xf numFmtId="166" fontId="20" fillId="0" borderId="0" applyAlignment="1" pivotButton="0" quotePrefix="0" xfId="0">
      <alignment horizontal="right" vertical="center"/>
    </xf>
    <xf numFmtId="166" fontId="17" fillId="0" borderId="0" applyAlignment="1" pivotButton="0" quotePrefix="0" xfId="0">
      <alignment horizontal="right" vertical="center"/>
    </xf>
    <xf numFmtId="37" fontId="17" fillId="0" borderId="0" applyAlignment="1" pivotButton="0" quotePrefix="0" xfId="0">
      <alignment horizontal="right" vertical="center"/>
    </xf>
    <xf numFmtId="37" fontId="20" fillId="0" borderId="1" applyAlignment="1" pivotButton="0" quotePrefix="0" xfId="0">
      <alignment horizontal="right" vertical="center"/>
    </xf>
    <xf numFmtId="37" fontId="19" fillId="0" borderId="0" applyAlignment="1" pivotButton="0" quotePrefix="0" xfId="0">
      <alignment horizontal="right" vertical="center"/>
    </xf>
    <xf numFmtId="37" fontId="20" fillId="0" borderId="0" applyAlignment="1" pivotButton="0" quotePrefix="0" xfId="0">
      <alignment horizontal="right" vertical="center"/>
    </xf>
    <xf numFmtId="167" fontId="17" fillId="0" borderId="0" applyAlignment="1" pivotButton="0" quotePrefix="0" xfId="0">
      <alignment horizontal="right" vertical="center"/>
    </xf>
    <xf numFmtId="165" fontId="17" fillId="0" borderId="0" applyAlignment="1" pivotButton="0" quotePrefix="0" xfId="0">
      <alignment horizontal="right" vertical="center"/>
    </xf>
    <xf numFmtId="168" fontId="17" fillId="0" borderId="0" applyAlignment="1" pivotButton="0" quotePrefix="0" xfId="0">
      <alignment horizontal="right" vertical="center"/>
    </xf>
    <xf numFmtId="165" fontId="20" fillId="0" borderId="0" applyAlignment="1" pivotButton="0" quotePrefix="0" xfId="0">
      <alignment horizontal="right" vertical="center"/>
    </xf>
    <xf numFmtId="164" fontId="20" fillId="0" borderId="0" applyAlignment="1" pivotButton="0" quotePrefix="0" xfId="0">
      <alignment horizontal="right" vertical="center"/>
    </xf>
    <xf numFmtId="165" fontId="16" fillId="0" borderId="0" applyAlignment="1" pivotButton="0" quotePrefix="0" xfId="0">
      <alignment horizontal="right" vertical="center"/>
    </xf>
    <xf numFmtId="37" fontId="21" fillId="0" borderId="0" applyAlignment="1" pivotButton="0" quotePrefix="0" xfId="0">
      <alignment horizontal="right" vertical="center"/>
    </xf>
    <xf numFmtId="165" fontId="19" fillId="0" borderId="0" applyAlignment="1" pivotButton="0" quotePrefix="0" xfId="0">
      <alignment horizontal="right" vertical="center"/>
    </xf>
    <xf numFmtId="37" fontId="20" fillId="0" borderId="2" applyAlignment="1" pivotButton="0" quotePrefix="0" xfId="0">
      <alignment horizontal="right" vertical="center"/>
    </xf>
    <xf numFmtId="7" fontId="15" fillId="0" borderId="0" applyAlignment="1" pivotButton="0" quotePrefix="0" xfId="0">
      <alignment horizontal="right" vertical="center"/>
    </xf>
    <xf numFmtId="7" fontId="15" fillId="5" borderId="0" applyAlignment="1" pivotButton="0" quotePrefix="0" xfId="0">
      <alignment horizontal="right" vertical="center"/>
    </xf>
    <xf numFmtId="165" fontId="19" fillId="5" borderId="0" applyAlignment="1" pivotButton="0" quotePrefix="0" xfId="0">
      <alignment horizontal="right" vertical="center"/>
    </xf>
    <xf numFmtId="164" fontId="14" fillId="5" borderId="0" applyAlignment="1" pivotButton="0" quotePrefix="0" xfId="0">
      <alignment horizontal="right" vertical="center"/>
    </xf>
    <xf numFmtId="166" fontId="17" fillId="5" borderId="0" applyAlignment="1" pivotButton="0" quotePrefix="0" xfId="0">
      <alignment horizontal="right" vertical="center"/>
    </xf>
    <xf numFmtId="166" fontId="14" fillId="5" borderId="0" applyAlignment="1" pivotButton="0" quotePrefix="0" xfId="0">
      <alignment horizontal="right" vertical="center"/>
    </xf>
    <xf numFmtId="168" fontId="17" fillId="5" borderId="0" applyAlignment="1" pivotButton="0" quotePrefix="0" xfId="0">
      <alignment horizontal="right" vertical="center"/>
    </xf>
    <xf numFmtId="164" fontId="20" fillId="0" borderId="1" applyAlignment="1" pivotButton="0" quotePrefix="0" xfId="0">
      <alignment horizontal="right" vertical="center"/>
    </xf>
    <xf numFmtId="167" fontId="20" fillId="0" borderId="0" applyAlignment="1" pivotButton="0" quotePrefix="0" xfId="0">
      <alignment horizontal="right" vertical="center"/>
    </xf>
    <xf numFmtId="167" fontId="19" fillId="0" borderId="0" applyAlignment="1" pivotButton="0" quotePrefix="0" xfId="0">
      <alignment horizontal="right" vertical="center"/>
    </xf>
    <xf numFmtId="168" fontId="14" fillId="0" borderId="0" applyAlignment="1" pivotButton="0" quotePrefix="0" xfId="0">
      <alignment horizontal="right" vertical="center"/>
    </xf>
    <xf numFmtId="165" fontId="20" fillId="0" borderId="1" applyAlignment="1" pivotButton="0" quotePrefix="0" xfId="0">
      <alignment horizontal="right" vertical="center"/>
    </xf>
    <xf numFmtId="168" fontId="20" fillId="0" borderId="1" applyAlignment="1" pivotButton="0" quotePrefix="0" xfId="0">
      <alignment horizontal="right" vertical="center"/>
    </xf>
    <xf numFmtId="166" fontId="15" fillId="0" borderId="0" applyAlignment="1" pivotButton="0" quotePrefix="0" xfId="0">
      <alignment horizontal="right" vertical="center"/>
    </xf>
    <xf numFmtId="165" fontId="15" fillId="0" borderId="0" applyAlignment="1" pivotButton="0" quotePrefix="0" xfId="0">
      <alignment horizontal="right" vertical="center"/>
    </xf>
    <xf numFmtId="168" fontId="15" fillId="0" borderId="0" applyAlignment="1" pivotButton="0" quotePrefix="0" xfId="0">
      <alignment horizontal="right" vertical="center"/>
    </xf>
    <xf numFmtId="7" fontId="14" fillId="0" borderId="0" applyAlignment="1" pivotButton="0" quotePrefix="0" xfId="0">
      <alignment horizontal="right" vertical="center"/>
    </xf>
    <xf numFmtId="7" fontId="17" fillId="0" borderId="0" applyAlignment="1" pivotButton="0" quotePrefix="0" xfId="0">
      <alignment horizontal="right" vertical="center"/>
    </xf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styles" Target="styles.xml" Id="rId21" /><Relationship Type="http://schemas.openxmlformats.org/officeDocument/2006/relationships/theme" Target="theme/theme1.xml" Id="rId22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en-US"/>
              <a:t>Implied DFS valuation range ($/share)</a:t>
            </a:r>
          </a:p>
        </rich>
      </tx>
      <layout/>
    </title>
    <plotArea>
      <layout/>
      <barChart>
        <barDir val="bar"/>
        <grouping val="stacked"/>
        <ser>
          <idx val="0"/>
          <order val="0"/>
          <tx>
            <v>Low</v>
          </tx>
          <spPr>
            <a:solidFill>
              <a:srgbClr val="FFFFFF"/>
            </a:solidFill>
            <a:ln>
              <a:solidFill>
                <a:srgbClr val="FFFFFF"/>
              </a:solidFill>
              <a:prstDash val="solid"/>
            </a:ln>
          </spPr>
          <cat>
            <strRef>
              <f>Football!$A$5:$A$9</f>
              <strCache>
                <ptCount val="5"/>
                <pt idx="0">
                  <v>52-week trading range (Jan-23 to Feb-24)</v>
                </pt>
                <pt idx="1">
                  <v>Standalone P/E range (8x-12x × FY24 EPS $17.72)</v>
                </pt>
                <pt idx="2">
                  <v>Standalone P/TBV range (1.3x-2.0x × TBV ~$70)</v>
                </pt>
                <pt idx="3">
                  <v>Precedent transactions median (P/TBV 1.5x-2.0x)</v>
                </pt>
                <pt idx="4">
                  <v>DCF (10% WACC, 2.5% TG)</v>
                </pt>
              </strCache>
            </strRef>
          </cat>
          <val>
            <numRef>
              <f>Football!$B$5:$B$9</f>
              <numCache>
                <formatCode>General</formatCode>
                <ptCount val="5"/>
                <pt idx="0">
                  <v>88</v>
                </pt>
                <pt idx="1">
                  <v>141.8</v>
                </pt>
                <pt idx="2">
                  <v>91</v>
                </pt>
                <pt idx="3">
                  <v>105</v>
                </pt>
                <pt idx="4">
                  <v>115</v>
                </pt>
              </numCache>
            </numRef>
          </val>
        </ser>
        <ser>
          <idx val="1"/>
          <order val="1"/>
          <tx>
            <v>Range</v>
          </tx>
          <spPr>
            <a:solidFill>
              <a:srgbClr val="4F81BD"/>
            </a:solidFill>
            <a:ln>
              <a:solidFill>
                <a:srgbClr val="002D72"/>
              </a:solidFill>
              <a:prstDash val="solid"/>
            </a:ln>
          </spPr>
          <cat>
            <strRef>
              <f>Football!$A$5:$A$9</f>
              <strCache>
                <ptCount val="5"/>
                <pt idx="0">
                  <v>52-week trading range (Jan-23 to Feb-24)</v>
                </pt>
                <pt idx="1">
                  <v>Standalone P/E range (8x-12x × FY24 EPS $17.72)</v>
                </pt>
                <pt idx="2">
                  <v>Standalone P/TBV range (1.3x-2.0x × TBV ~$70)</v>
                </pt>
                <pt idx="3">
                  <v>Precedent transactions median (P/TBV 1.5x-2.0x)</v>
                </pt>
                <pt idx="4">
                  <v>DCF (10% WACC, 2.5% TG)</v>
                </pt>
              </strCache>
            </strRef>
          </cat>
          <val>
            <numRef>
              <f>Football!$D$5:$D$9</f>
              <numCache>
                <formatCode>General</formatCode>
                <ptCount val="5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</numCache>
            </numRef>
          </val>
        </ser>
        <gapWidth val="150"/>
        <overlap val="100"/>
        <axId val="50010001"/>
        <axId val="50010002"/>
      </barChart>
      <catAx>
        <axId val="50010001"/>
        <scaling>
          <orientation val="minMax"/>
        </scaling>
        <axPos val="l"/>
        <majorTickMark val="none"/>
        <minorTickMark val="none"/>
        <tickLblPos val="nextTo"/>
        <crossAx val="50010002"/>
        <crosses val="autoZero"/>
        <auto val="1"/>
        <lblAlgn val="ctr"/>
        <lblOffset val="100"/>
      </catAx>
      <valAx>
        <axId val="50010002"/>
        <scaling>
          <orientation val="minMax"/>
          <max val="220"/>
          <min val="50"/>
        </scaling>
        <axPos val="b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en-US"/>
                  <a:t>$/share</a:t>
                </a:r>
              </a:p>
            </rich>
          </tx>
          <layout/>
        </title>
        <numFmt formatCode="General" sourceLinked="1"/>
        <majorTickMark val="none"/>
        <minorTickMark val="none"/>
        <tickLblPos val="nextTo"/>
        <crossAx val="50010001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13</row>
      <rowOff>0</rowOff>
    </from>
    <to>
      <col>4</col>
      <colOff>400050</colOff>
      <row>29</row>
      <rowOff>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tabColor rgb="FF002D72"/>
    <outlinePr summaryBelow="1" summaryRight="1"/>
    <pageSetUpPr/>
  </sheetPr>
  <dimension ref="A1:E42"/>
  <sheetViews>
    <sheetView showGridLines="0" tabSelected="1" workbookViewId="0">
      <selection activeCell="A1" sqref="A1"/>
    </sheetView>
  </sheetViews>
  <sheetFormatPr baseColWidth="8" defaultRowHeight="15"/>
  <cols>
    <col width="44.7109375" customWidth="1" min="1" max="1"/>
    <col width="16.7109375" customWidth="1" min="2" max="5"/>
    <col width="50.7109375" customWidth="1" min="6" max="6"/>
  </cols>
  <sheetData>
    <row r="1">
      <c r="A1" s="1" t="inlineStr">
        <is>
          <t>Cover &amp; Key Assumptions</t>
        </is>
      </c>
    </row>
    <row r="2">
      <c r="A2" s="2" t="inlineStr">
        <is>
          <t>Capital One / Discover · 1-Year Retrospective | $M unless noted</t>
        </is>
      </c>
    </row>
    <row r="3"/>
    <row r="4">
      <c r="A4" s="3" t="inlineStr">
        <is>
          <t>Deal: Capital One Financial (COF) acquires Discover Financial (DFS)</t>
        </is>
      </c>
    </row>
    <row r="5"/>
    <row r="6">
      <c r="A6" s="4" t="inlineStr">
        <is>
          <t>DEAL TERMS</t>
        </is>
      </c>
      <c r="B6" s="4" t="n"/>
      <c r="C6" s="4" t="n"/>
      <c r="D6" s="4" t="n"/>
      <c r="E6" s="4" t="n"/>
    </row>
    <row r="7">
      <c r="A7" s="3" t="inlineStr">
        <is>
          <t>Announce date</t>
        </is>
      </c>
      <c r="B7" s="3" t="inlineStr">
        <is>
          <t>19-Feb-2024</t>
        </is>
      </c>
    </row>
    <row r="8">
      <c r="A8" s="3" t="inlineStr">
        <is>
          <t>Close date</t>
        </is>
      </c>
      <c r="B8" s="3" t="inlineStr">
        <is>
          <t>18-May-2025</t>
        </is>
      </c>
    </row>
    <row r="9">
      <c r="A9" s="3" t="inlineStr">
        <is>
          <t>Consideration</t>
        </is>
      </c>
      <c r="B9" s="3" t="inlineStr">
        <is>
          <t>100% stock</t>
        </is>
      </c>
    </row>
    <row r="10">
      <c r="A10" s="3" t="inlineStr">
        <is>
          <t>Exchange ratio (COF per DFS)</t>
        </is>
      </c>
      <c r="B10" s="59" t="n">
        <v>1.0192</v>
      </c>
    </row>
    <row r="11">
      <c r="A11" s="3" t="inlineStr">
        <is>
          <t>DFS unaffected price (16-Feb-2024, $)</t>
        </is>
      </c>
      <c r="B11" s="59" t="n">
        <v>110.49</v>
      </c>
    </row>
    <row r="12">
      <c r="A12" s="3" t="inlineStr">
        <is>
          <t>Implied premium</t>
        </is>
      </c>
      <c r="B12" s="60" t="n">
        <v>0.266</v>
      </c>
    </row>
    <row r="13">
      <c r="A13" s="3" t="inlineStr">
        <is>
          <t>Headline deal value ($B)</t>
        </is>
      </c>
      <c r="B13" s="59" t="n">
        <v>35.3</v>
      </c>
    </row>
    <row r="14">
      <c r="A14" s="3" t="inlineStr">
        <is>
          <t>Pro forma assets ($B)</t>
        </is>
      </c>
      <c r="B14" s="61" t="n">
        <v>660</v>
      </c>
    </row>
    <row r="15">
      <c r="A15" s="3" t="inlineStr">
        <is>
          <t>Pro forma US card balance share</t>
        </is>
      </c>
      <c r="B15" s="60" t="n">
        <v>0.22</v>
      </c>
    </row>
    <row r="16"/>
    <row r="17"/>
    <row r="18">
      <c r="A18" s="4" t="inlineStr">
        <is>
          <t>CASE TOGGLE</t>
        </is>
      </c>
      <c r="B18" s="4" t="n"/>
      <c r="C18" s="4" t="n"/>
      <c r="D18" s="4" t="n"/>
      <c r="E18" s="4" t="n"/>
    </row>
    <row r="19">
      <c r="A19" s="3" t="inlineStr">
        <is>
          <t>Active case (1=Mgmt, 2=Base, 3=Haircut)</t>
        </is>
      </c>
      <c r="B19" s="62" t="n">
        <v>3</v>
      </c>
    </row>
    <row r="20">
      <c r="A20" s="3" t="inlineStr">
        <is>
          <t>Selected case label</t>
        </is>
      </c>
      <c r="B20" s="63">
        <f>CHOOSE(B19,"Mgmt","Base","Haircut")</f>
        <v/>
      </c>
    </row>
    <row r="21"/>
    <row r="22">
      <c r="A22" s="4" t="inlineStr">
        <is>
          <t>SYNERGY ASSUMPTIONS · Run-Rate by 2027 ($M)</t>
        </is>
      </c>
      <c r="B22" s="4" t="n"/>
      <c r="C22" s="4" t="n"/>
      <c r="D22" s="4" t="n"/>
      <c r="E22" s="4" t="n"/>
    </row>
    <row r="23">
      <c r="B23" s="3" t="inlineStr">
        <is>
          <t>Mgmt (announce)</t>
        </is>
      </c>
      <c r="C23" s="3" t="inlineStr">
        <is>
          <t>Base (revised)</t>
        </is>
      </c>
      <c r="D23" s="3" t="inlineStr">
        <is>
          <t>Haircut (mine)</t>
        </is>
      </c>
      <c r="E23" s="3" t="inlineStr">
        <is>
          <t>Source</t>
        </is>
      </c>
    </row>
    <row r="24">
      <c r="A24" s="3" t="inlineStr">
        <is>
          <t>Expense synergies</t>
        </is>
      </c>
      <c r="B24" s="61" t="n">
        <v>1500</v>
      </c>
      <c r="C24" s="61" t="n">
        <v>1400</v>
      </c>
      <c r="D24" s="61" t="n">
        <v>1100</v>
      </c>
      <c r="E24" s="3" t="inlineStr">
        <is>
          <t>Mgmt: Feb-19-2024 deck. Revised: H2 2025 calls.</t>
        </is>
      </c>
    </row>
    <row r="25">
      <c r="A25" s="3" t="inlineStr">
        <is>
          <t>Network synergies</t>
        </is>
      </c>
      <c r="B25" s="61" t="n">
        <v>1200</v>
      </c>
      <c r="C25" s="61" t="n">
        <v>1100</v>
      </c>
      <c r="D25" s="61" t="n">
        <v>800</v>
      </c>
      <c r="E25" s="3" t="inlineStr">
        <is>
          <t>Re-route COF debit/credit volume to Discover network.</t>
        </is>
      </c>
    </row>
    <row r="26">
      <c r="A26" s="3" t="inlineStr">
        <is>
          <t>Total run-rate synergies</t>
        </is>
      </c>
      <c r="B26" s="64">
        <f>SUM(B24:B25)</f>
        <v/>
      </c>
      <c r="C26" s="64">
        <f>SUM(C24:C25)</f>
        <v/>
      </c>
      <c r="D26" s="64">
        <f>SUM(D24:D25)</f>
        <v/>
      </c>
      <c r="E26" s="3" t="inlineStr">
        <is>
          <t>Sum</t>
        </is>
      </c>
    </row>
    <row r="27"/>
    <row r="28">
      <c r="A28" s="3" t="inlineStr">
        <is>
          <t>Active case · Expense synergy</t>
        </is>
      </c>
      <c r="B28" s="65">
        <f>CHOOSE($B$19,B24,C24,D24)</f>
        <v/>
      </c>
    </row>
    <row r="29">
      <c r="A29" s="3" t="inlineStr">
        <is>
          <t>Active case · Network synergy</t>
        </is>
      </c>
      <c r="B29" s="65">
        <f>CHOOSE($B$19,B25,C25,D25)</f>
        <v/>
      </c>
    </row>
    <row r="30">
      <c r="A30" s="3" t="inlineStr">
        <is>
          <t>Active case · Total run-rate synergy</t>
        </is>
      </c>
      <c r="B30" s="64">
        <f>B28+B29</f>
        <v/>
      </c>
    </row>
    <row r="31"/>
    <row r="32">
      <c r="A32" s="4" t="inlineStr">
        <is>
          <t>SYNERGY PHASE-IN (% of run-rate realized)</t>
        </is>
      </c>
      <c r="B32" s="4" t="n"/>
      <c r="C32" s="4" t="n"/>
      <c r="D32" s="4" t="n"/>
      <c r="E32" s="4" t="n"/>
    </row>
    <row r="33">
      <c r="B33" s="3" t="inlineStr">
        <is>
          <t>2025E</t>
        </is>
      </c>
      <c r="C33" s="3" t="inlineStr">
        <is>
          <t>2026E</t>
        </is>
      </c>
      <c r="D33" s="3" t="inlineStr">
        <is>
          <t>2027E</t>
        </is>
      </c>
      <c r="E33" s="3" t="inlineStr">
        <is>
          <t>2028E</t>
        </is>
      </c>
    </row>
    <row r="34">
      <c r="A34" s="3" t="inlineStr">
        <is>
          <t>Mgmt case</t>
        </is>
      </c>
      <c r="B34" s="60" t="n">
        <v>0.1</v>
      </c>
      <c r="C34" s="60" t="n">
        <v>0.5</v>
      </c>
      <c r="D34" s="61" t="n">
        <v>1</v>
      </c>
      <c r="E34" s="61" t="n">
        <v>1</v>
      </c>
    </row>
    <row r="35">
      <c r="A35" s="3" t="inlineStr">
        <is>
          <t>Base case</t>
        </is>
      </c>
      <c r="B35" s="60" t="n">
        <v>0.05</v>
      </c>
      <c r="C35" s="60" t="n">
        <v>0.35</v>
      </c>
      <c r="D35" s="60" t="n">
        <v>0.85</v>
      </c>
      <c r="E35" s="61" t="n">
        <v>1</v>
      </c>
    </row>
    <row r="36">
      <c r="A36" s="3" t="inlineStr">
        <is>
          <t>Haircut case</t>
        </is>
      </c>
      <c r="B36" s="60" t="n">
        <v>0.05</v>
      </c>
      <c r="C36" s="60" t="n">
        <v>0.25</v>
      </c>
      <c r="D36" s="60" t="n">
        <v>0.65</v>
      </c>
      <c r="E36" s="60" t="n">
        <v>0.9</v>
      </c>
    </row>
    <row r="37">
      <c r="A37" s="3" t="inlineStr">
        <is>
          <t>Active phase-in</t>
        </is>
      </c>
      <c r="B37" s="65">
        <f>CHOOSE($B$19,B34,B35,B36)</f>
        <v/>
      </c>
      <c r="C37" s="65">
        <f>CHOOSE($B$19,C34,C35,C36)</f>
        <v/>
      </c>
      <c r="D37" s="65">
        <f>CHOOSE($B$19,D34,D35,D36)</f>
        <v/>
      </c>
      <c r="E37" s="65">
        <f>CHOOSE($B$19,E34,E35,E36)</f>
        <v/>
      </c>
    </row>
    <row r="38"/>
    <row r="39">
      <c r="A39" s="4" t="inlineStr">
        <is>
          <t>OTHER</t>
        </is>
      </c>
      <c r="B39" s="4" t="n"/>
      <c r="C39" s="4" t="n"/>
      <c r="D39" s="4" t="n"/>
      <c r="E39" s="4" t="n"/>
    </row>
    <row r="40">
      <c r="A40" s="3" t="inlineStr">
        <is>
          <t>Tax rate</t>
        </is>
      </c>
      <c r="B40" s="60" t="n">
        <v>0.21</v>
      </c>
    </row>
    <row r="41">
      <c r="A41" s="3" t="inlineStr">
        <is>
          <t>Integration costs (announced budget)</t>
        </is>
      </c>
      <c r="B41" s="61" t="n">
        <v>2800</v>
      </c>
    </row>
    <row r="42">
      <c r="A42" s="3" t="inlineStr">
        <is>
          <t>Integration costs (Fairbank H2 2025: 'somewhat higher')</t>
        </is>
      </c>
      <c r="B42" s="61" t="n">
        <v>3500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tabColor rgb="FF4F81BD"/>
    <outlinePr summaryBelow="1" summaryRight="1"/>
    <pageSetUpPr/>
  </sheetPr>
  <dimension ref="A1:L33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46.7109375" customWidth="1" min="1" max="1"/>
    <col width="12.7109375" customWidth="1" min="2" max="12"/>
  </cols>
  <sheetData>
    <row r="1">
      <c r="A1" s="1" t="inlineStr">
        <is>
          <t>Synergy Phase-In · Quarterly Build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Q2 2025</t>
        </is>
      </c>
      <c r="C4" s="11" t="inlineStr">
        <is>
          <t>Q3 2025</t>
        </is>
      </c>
      <c r="D4" s="11" t="inlineStr">
        <is>
          <t>Q4 2025</t>
        </is>
      </c>
      <c r="E4" s="11" t="inlineStr">
        <is>
          <t>Q1 2026</t>
        </is>
      </c>
      <c r="F4" s="11" t="inlineStr">
        <is>
          <t>Q2 2026</t>
        </is>
      </c>
      <c r="G4" s="11" t="inlineStr">
        <is>
          <t>Q3 2026</t>
        </is>
      </c>
      <c r="H4" s="11" t="inlineStr">
        <is>
          <t>Q4 2026</t>
        </is>
      </c>
      <c r="I4" s="11" t="inlineStr">
        <is>
          <t>Q1 2027</t>
        </is>
      </c>
      <c r="J4" s="11" t="inlineStr">
        <is>
          <t>Q2 2027</t>
        </is>
      </c>
      <c r="K4" s="11" t="inlineStr">
        <is>
          <t>Q3 2027</t>
        </is>
      </c>
      <c r="L4" s="11" t="inlineStr">
        <is>
          <t>Q4 2027</t>
        </is>
      </c>
    </row>
    <row r="5">
      <c r="A5" s="4" t="inlineStr">
        <is>
          <t>PHASE-IN % BY CASE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13" t="inlineStr">
        <is>
          <t>Mgmt case</t>
        </is>
      </c>
      <c r="B6" s="60" t="n">
        <v>0</v>
      </c>
      <c r="C6" s="60" t="n">
        <v>0.05</v>
      </c>
      <c r="D6" s="60" t="n">
        <v>0.1</v>
      </c>
      <c r="E6" s="60" t="n">
        <v>0.25</v>
      </c>
      <c r="F6" s="60" t="n">
        <v>0.4</v>
      </c>
      <c r="G6" s="60" t="n">
        <v>0.55</v>
      </c>
      <c r="H6" s="60" t="n">
        <v>0.7</v>
      </c>
      <c r="I6" s="60" t="n">
        <v>0.85</v>
      </c>
      <c r="J6" s="60" t="n">
        <v>0.95</v>
      </c>
      <c r="K6" s="60" t="n">
        <v>1</v>
      </c>
      <c r="L6" s="60" t="n">
        <v>1</v>
      </c>
    </row>
    <row r="7">
      <c r="A7" s="13" t="inlineStr">
        <is>
          <t>Base case</t>
        </is>
      </c>
      <c r="B7" s="60" t="n">
        <v>0</v>
      </c>
      <c r="C7" s="60" t="n">
        <v>0.02</v>
      </c>
      <c r="D7" s="60" t="n">
        <v>0.05</v>
      </c>
      <c r="E7" s="60" t="n">
        <v>0.15</v>
      </c>
      <c r="F7" s="60" t="n">
        <v>0.3</v>
      </c>
      <c r="G7" s="60" t="n">
        <v>0.45</v>
      </c>
      <c r="H7" s="60" t="n">
        <v>0.6</v>
      </c>
      <c r="I7" s="60" t="n">
        <v>0.75</v>
      </c>
      <c r="J7" s="60" t="n">
        <v>0.85</v>
      </c>
      <c r="K7" s="60" t="n">
        <v>0.95</v>
      </c>
      <c r="L7" s="60" t="n">
        <v>1</v>
      </c>
    </row>
    <row r="8">
      <c r="A8" s="13" t="inlineStr">
        <is>
          <t>Haircut case</t>
        </is>
      </c>
      <c r="B8" s="60" t="n">
        <v>0</v>
      </c>
      <c r="C8" s="60" t="n">
        <v>0</v>
      </c>
      <c r="D8" s="60" t="n">
        <v>0.02</v>
      </c>
      <c r="E8" s="60" t="n">
        <v>0.05</v>
      </c>
      <c r="F8" s="60" t="n">
        <v>0.15</v>
      </c>
      <c r="G8" s="60" t="n">
        <v>0.3</v>
      </c>
      <c r="H8" s="60" t="n">
        <v>0.45</v>
      </c>
      <c r="I8" s="60" t="n">
        <v>0.55</v>
      </c>
      <c r="J8" s="60" t="n">
        <v>0.65</v>
      </c>
      <c r="K8" s="60" t="n">
        <v>0.75</v>
      </c>
      <c r="L8" s="60" t="n">
        <v>0.85</v>
      </c>
    </row>
    <row r="9">
      <c r="A9" s="16" t="inlineStr">
        <is>
          <t>Active phase-in</t>
        </is>
      </c>
      <c r="B9" s="81">
        <f>CHOOSE(Cover!$B$19,B6,B7,B8)</f>
        <v/>
      </c>
      <c r="C9" s="81">
        <f>CHOOSE(Cover!$B$19,C6,C7,C8)</f>
        <v/>
      </c>
      <c r="D9" s="81">
        <f>CHOOSE(Cover!$B$19,D6,D7,D8)</f>
        <v/>
      </c>
      <c r="E9" s="81">
        <f>CHOOSE(Cover!$B$19,E6,E7,E8)</f>
        <v/>
      </c>
      <c r="F9" s="81">
        <f>CHOOSE(Cover!$B$19,F6,F7,F8)</f>
        <v/>
      </c>
      <c r="G9" s="81">
        <f>CHOOSE(Cover!$B$19,G6,G7,G8)</f>
        <v/>
      </c>
      <c r="H9" s="81">
        <f>CHOOSE(Cover!$B$19,H6,H7,H8)</f>
        <v/>
      </c>
      <c r="I9" s="81">
        <f>CHOOSE(Cover!$B$19,I6,I7,I8)</f>
        <v/>
      </c>
      <c r="J9" s="81">
        <f>CHOOSE(Cover!$B$19,J6,J7,J8)</f>
        <v/>
      </c>
      <c r="K9" s="81">
        <f>CHOOSE(Cover!$B$19,K6,K7,K8)</f>
        <v/>
      </c>
      <c r="L9" s="81">
        <f>CHOOSE(Cover!$B$19,L6,L7,L8)</f>
        <v/>
      </c>
    </row>
    <row r="10"/>
    <row r="11">
      <c r="A11" s="4" t="inlineStr">
        <is>
          <t>RUN-RATE REALIZED ($M)</t>
        </is>
      </c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>
      <c r="A12" s="13" t="inlineStr">
        <is>
          <t>Expense run-rate</t>
        </is>
      </c>
      <c r="B12" s="74">
        <f>B9*Cover!$B$28</f>
        <v/>
      </c>
      <c r="C12" s="74">
        <f>C9*Cover!$B$28</f>
        <v/>
      </c>
      <c r="D12" s="74">
        <f>D9*Cover!$B$28</f>
        <v/>
      </c>
      <c r="E12" s="74">
        <f>E9*Cover!$B$28</f>
        <v/>
      </c>
      <c r="F12" s="74">
        <f>F9*Cover!$B$28</f>
        <v/>
      </c>
      <c r="G12" s="74">
        <f>G9*Cover!$B$28</f>
        <v/>
      </c>
      <c r="H12" s="74">
        <f>H9*Cover!$B$28</f>
        <v/>
      </c>
      <c r="I12" s="74">
        <f>I9*Cover!$B$28</f>
        <v/>
      </c>
      <c r="J12" s="74">
        <f>J9*Cover!$B$28</f>
        <v/>
      </c>
      <c r="K12" s="74">
        <f>K9*Cover!$B$28</f>
        <v/>
      </c>
      <c r="L12" s="74">
        <f>L9*Cover!$B$28</f>
        <v/>
      </c>
    </row>
    <row r="13">
      <c r="A13" s="13" t="inlineStr">
        <is>
          <t>Network run-rate</t>
        </is>
      </c>
      <c r="B13" s="74">
        <f>B9*Cover!$B$29</f>
        <v/>
      </c>
      <c r="C13" s="74">
        <f>C9*Cover!$B$29</f>
        <v/>
      </c>
      <c r="D13" s="74">
        <f>D9*Cover!$B$29</f>
        <v/>
      </c>
      <c r="E13" s="74">
        <f>E9*Cover!$B$29</f>
        <v/>
      </c>
      <c r="F13" s="74">
        <f>F9*Cover!$B$29</f>
        <v/>
      </c>
      <c r="G13" s="74">
        <f>G9*Cover!$B$29</f>
        <v/>
      </c>
      <c r="H13" s="74">
        <f>H9*Cover!$B$29</f>
        <v/>
      </c>
      <c r="I13" s="74">
        <f>I9*Cover!$B$29</f>
        <v/>
      </c>
      <c r="J13" s="74">
        <f>J9*Cover!$B$29</f>
        <v/>
      </c>
      <c r="K13" s="74">
        <f>K9*Cover!$B$29</f>
        <v/>
      </c>
      <c r="L13" s="74">
        <f>L9*Cover!$B$29</f>
        <v/>
      </c>
    </row>
    <row r="14">
      <c r="A14" s="16" t="inlineStr">
        <is>
          <t>Total run-rate synergy ($M)</t>
        </is>
      </c>
      <c r="B14" s="73">
        <f>B12+B13</f>
        <v/>
      </c>
      <c r="C14" s="73">
        <f>C12+C13</f>
        <v/>
      </c>
      <c r="D14" s="73">
        <f>D12+D13</f>
        <v/>
      </c>
      <c r="E14" s="73">
        <f>E12+E13</f>
        <v/>
      </c>
      <c r="F14" s="73">
        <f>F12+F13</f>
        <v/>
      </c>
      <c r="G14" s="73">
        <f>G12+G13</f>
        <v/>
      </c>
      <c r="H14" s="73">
        <f>H12+H13</f>
        <v/>
      </c>
      <c r="I14" s="73">
        <f>I12+I13</f>
        <v/>
      </c>
      <c r="J14" s="73">
        <f>J12+J13</f>
        <v/>
      </c>
      <c r="K14" s="73">
        <f>K12+K13</f>
        <v/>
      </c>
      <c r="L14" s="73">
        <f>L12+L13</f>
        <v/>
      </c>
    </row>
    <row r="15"/>
    <row r="16">
      <c r="A16" s="4" t="inlineStr">
        <is>
          <t>PRE-TAX AND AFTER-TAX SYNERGIES</t>
        </is>
      </c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13" t="inlineStr">
        <is>
          <t>Pre-tax synergies (run-rate, $M)</t>
        </is>
      </c>
      <c r="B17" s="72">
        <f>B14</f>
        <v/>
      </c>
      <c r="C17" s="72">
        <f>C14</f>
        <v/>
      </c>
      <c r="D17" s="72">
        <f>D14</f>
        <v/>
      </c>
      <c r="E17" s="72">
        <f>E14</f>
        <v/>
      </c>
      <c r="F17" s="72">
        <f>F14</f>
        <v/>
      </c>
      <c r="G17" s="72">
        <f>G14</f>
        <v/>
      </c>
      <c r="H17" s="72">
        <f>H14</f>
        <v/>
      </c>
      <c r="I17" s="72">
        <f>I14</f>
        <v/>
      </c>
      <c r="J17" s="72">
        <f>J14</f>
        <v/>
      </c>
      <c r="K17" s="72">
        <f>K14</f>
        <v/>
      </c>
      <c r="L17" s="72">
        <f>L14</f>
        <v/>
      </c>
    </row>
    <row r="18">
      <c r="A18" s="16" t="inlineStr">
        <is>
          <t>After-tax synergies ($M)</t>
        </is>
      </c>
      <c r="B18" s="82">
        <f>B17*(1-Cover!$B$40)</f>
        <v/>
      </c>
      <c r="C18" s="82">
        <f>C17*(1-Cover!$B$40)</f>
        <v/>
      </c>
      <c r="D18" s="82">
        <f>D17*(1-Cover!$B$40)</f>
        <v/>
      </c>
      <c r="E18" s="82">
        <f>E17*(1-Cover!$B$40)</f>
        <v/>
      </c>
      <c r="F18" s="82">
        <f>F17*(1-Cover!$B$40)</f>
        <v/>
      </c>
      <c r="G18" s="82">
        <f>G17*(1-Cover!$B$40)</f>
        <v/>
      </c>
      <c r="H18" s="82">
        <f>H17*(1-Cover!$B$40)</f>
        <v/>
      </c>
      <c r="I18" s="82">
        <f>I17*(1-Cover!$B$40)</f>
        <v/>
      </c>
      <c r="J18" s="82">
        <f>J17*(1-Cover!$B$40)</f>
        <v/>
      </c>
      <c r="K18" s="82">
        <f>K17*(1-Cover!$B$40)</f>
        <v/>
      </c>
      <c r="L18" s="82">
        <f>L17*(1-Cover!$B$40)</f>
        <v/>
      </c>
    </row>
    <row r="19"/>
    <row r="20">
      <c r="A20" s="4" t="inlineStr">
        <is>
          <t>INTEGRATION COSTS ($M, FRONT-LOADED)</t>
        </is>
      </c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>
      <c r="A21" s="13" t="inlineStr">
        <is>
          <t>Quarterly implementation spend</t>
        </is>
      </c>
      <c r="B21" s="61" t="n">
        <v>400</v>
      </c>
      <c r="C21" s="61" t="n">
        <v>500</v>
      </c>
      <c r="D21" s="61" t="n">
        <v>600</v>
      </c>
      <c r="E21" s="61" t="n">
        <v>500</v>
      </c>
      <c r="F21" s="61" t="n">
        <v>400</v>
      </c>
      <c r="G21" s="61" t="n">
        <v>300</v>
      </c>
      <c r="H21" s="61" t="n">
        <v>200</v>
      </c>
      <c r="I21" s="61" t="n">
        <v>100</v>
      </c>
      <c r="J21" s="61" t="n">
        <v>50</v>
      </c>
      <c r="K21" s="61" t="n">
        <v>25</v>
      </c>
      <c r="L21" s="61" t="n">
        <v>25</v>
      </c>
    </row>
    <row r="22">
      <c r="A22" s="16" t="inlineStr">
        <is>
          <t>Cumulative ($M)</t>
        </is>
      </c>
      <c r="B22" s="75">
        <f>B21</f>
        <v/>
      </c>
      <c r="C22" s="75">
        <f>B22+C21</f>
        <v/>
      </c>
      <c r="D22" s="75">
        <f>C22+D21</f>
        <v/>
      </c>
      <c r="E22" s="75">
        <f>D22+E21</f>
        <v/>
      </c>
      <c r="F22" s="75">
        <f>E22+F21</f>
        <v/>
      </c>
      <c r="G22" s="75">
        <f>F22+G21</f>
        <v/>
      </c>
      <c r="H22" s="75">
        <f>G22+H21</f>
        <v/>
      </c>
      <c r="I22" s="75">
        <f>H22+I21</f>
        <v/>
      </c>
      <c r="J22" s="75">
        <f>I22+J21</f>
        <v/>
      </c>
      <c r="K22" s="75">
        <f>J22+K21</f>
        <v/>
      </c>
      <c r="L22" s="75">
        <f>K22+L21</f>
        <v/>
      </c>
    </row>
    <row r="23">
      <c r="A23" s="25" t="inlineStr">
        <is>
          <t>Mgmt announce-day budget ($M)</t>
        </is>
      </c>
      <c r="L23" s="61" t="n">
        <v>2800</v>
      </c>
    </row>
    <row r="24"/>
    <row r="25">
      <c r="A25" s="4" t="inlineStr">
        <is>
          <t>NPV OF AFTER-TAX SYNERGIES</t>
        </is>
      </c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</row>
    <row r="26">
      <c r="A26" s="13" t="inlineStr">
        <is>
          <t>WACC</t>
        </is>
      </c>
      <c r="B26" s="60" t="n">
        <v>0.08500000000000001</v>
      </c>
    </row>
    <row r="27">
      <c r="A27" s="13" t="inlineStr">
        <is>
          <t>Terminal growth</t>
        </is>
      </c>
      <c r="B27" s="60" t="n">
        <v>0.025</v>
      </c>
    </row>
    <row r="28">
      <c r="A28" s="13" t="inlineStr">
        <is>
          <t>Terminal after-tax synergies ($M)</t>
        </is>
      </c>
      <c r="B28" s="72">
        <f>L18</f>
        <v/>
      </c>
    </row>
    <row r="29">
      <c r="A29" s="13" t="inlineStr">
        <is>
          <t>Terminal value ($M) [TV = AT syn / (WACC - g)]</t>
        </is>
      </c>
      <c r="B29" s="72">
        <f>B28/(B26-B27)</f>
        <v/>
      </c>
    </row>
    <row r="30">
      <c r="A30" s="13" t="inlineStr">
        <is>
          <t>PV of TV at end of 2027 ($M, simple)</t>
        </is>
      </c>
      <c r="B30" s="75">
        <f>B29/(1+B26)^2.5</f>
        <v/>
      </c>
    </row>
    <row r="31"/>
    <row r="32">
      <c r="A32" s="20" t="inlineStr">
        <is>
          <t>Source: Phase-in schedule per author's model, anchored to Mgmt's 19-Feb-2024 deck (&gt;15% Y2 accretion target) + Q2 2025 transcript ($2.5B net by mid-2027).</t>
        </is>
      </c>
    </row>
    <row r="33">
      <c r="A33" s="20" t="inlineStr">
        <is>
          <t>Integration spend front-loaded to 2025-2026 per Fairbank Q2 2025 call ("somewhat higher than $2.8B"). NPV uses 8.5% WACC consistent with COF post-deal cost of capital range.</t>
        </is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tabColor rgb="FF70AD47"/>
    <outlinePr summaryBelow="1" summaryRight="1"/>
    <pageSetUpPr/>
  </sheetPr>
  <dimension ref="A1:E4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56.7109375" customWidth="1" min="1" max="1"/>
    <col width="13.7109375" customWidth="1" min="2" max="5"/>
  </cols>
  <sheetData>
    <row r="1">
      <c r="A1" s="1" t="inlineStr">
        <is>
          <t>Accretion / Dilution Output</t>
        </is>
      </c>
    </row>
    <row r="2">
      <c r="A2" s="2" t="inlineStr">
        <is>
          <t>Capital One / Discover · 1-Year Retrospective | $M unless noted</t>
        </is>
      </c>
    </row>
    <row r="3"/>
    <row r="4">
      <c r="B4" s="11" t="inlineStr">
        <is>
          <t>2025E</t>
        </is>
      </c>
      <c r="C4" s="11" t="inlineStr">
        <is>
          <t>2026E</t>
        </is>
      </c>
      <c r="D4" s="11" t="inlineStr">
        <is>
          <t>2027E</t>
        </is>
      </c>
      <c r="E4" s="11" t="inlineStr">
        <is>
          <t>2028E</t>
        </is>
      </c>
    </row>
    <row r="5">
      <c r="A5" s="4" t="inlineStr">
        <is>
          <t>Standalone COF</t>
        </is>
      </c>
      <c r="B5" s="4" t="n"/>
      <c r="C5" s="4" t="n"/>
      <c r="D5" s="4" t="n"/>
      <c r="E5" s="4" t="n"/>
    </row>
    <row r="6">
      <c r="A6" s="3" t="inlineStr">
        <is>
          <t>COF NI standalone ($M)</t>
        </is>
      </c>
      <c r="B6" s="66">
        <f>Combined!B6</f>
        <v/>
      </c>
      <c r="C6" s="66">
        <f>Combined!C6</f>
        <v/>
      </c>
      <c r="D6" s="66">
        <f>Combined!D6</f>
        <v/>
      </c>
      <c r="E6" s="66">
        <f>Combined!E6</f>
        <v/>
      </c>
    </row>
    <row r="7">
      <c r="A7" s="3" t="inlineStr">
        <is>
          <t>COF diluted shares (M)</t>
        </is>
      </c>
      <c r="B7" s="61" t="n">
        <v>410</v>
      </c>
      <c r="C7" s="61" t="n">
        <v>410</v>
      </c>
      <c r="D7" s="61" t="n">
        <v>410</v>
      </c>
      <c r="E7" s="61" t="n">
        <v>410</v>
      </c>
    </row>
    <row r="8">
      <c r="A8" s="3" t="inlineStr">
        <is>
          <t>COF standalone EPS ($)</t>
        </is>
      </c>
      <c r="B8" s="64">
        <f>B6/B7</f>
        <v/>
      </c>
      <c r="C8" s="64">
        <f>C6/C7</f>
        <v/>
      </c>
      <c r="D8" s="64">
        <f>D6/D7</f>
        <v/>
      </c>
      <c r="E8" s="64">
        <f>E6/E7</f>
        <v/>
      </c>
    </row>
    <row r="9"/>
    <row r="10">
      <c r="A10" s="4" t="inlineStr">
        <is>
          <t>Pro Forma Combined</t>
        </is>
      </c>
      <c r="B10" s="4" t="n"/>
      <c r="C10" s="4" t="n"/>
      <c r="D10" s="4" t="n"/>
      <c r="E10" s="4" t="n"/>
    </row>
    <row r="11">
      <c r="A11" s="3" t="inlineStr">
        <is>
          <t>Pro forma NI ($M)</t>
        </is>
      </c>
      <c r="B11" s="66">
        <f>Combined!B21</f>
        <v/>
      </c>
      <c r="C11" s="66">
        <f>Combined!C21</f>
        <v/>
      </c>
      <c r="D11" s="66">
        <f>Combined!D21</f>
        <v/>
      </c>
      <c r="E11" s="66">
        <f>Combined!E21</f>
        <v/>
      </c>
    </row>
    <row r="12">
      <c r="A12" s="3" t="inlineStr">
        <is>
          <t>Shares issued to DFS (M)</t>
        </is>
      </c>
      <c r="B12" s="59" t="n">
        <v>252.8</v>
      </c>
      <c r="C12" s="64">
        <f>B12</f>
        <v/>
      </c>
      <c r="D12" s="64">
        <f>B12</f>
        <v/>
      </c>
      <c r="E12" s="64">
        <f>B12</f>
        <v/>
      </c>
    </row>
    <row r="13">
      <c r="A13" s="3" t="inlineStr">
        <is>
          <t>Pro forma diluted shares (M)</t>
        </is>
      </c>
      <c r="B13" s="64">
        <f>B7+B12</f>
        <v/>
      </c>
      <c r="C13" s="64">
        <f>C7+C12</f>
        <v/>
      </c>
      <c r="D13" s="64">
        <f>D7+D12</f>
        <v/>
      </c>
      <c r="E13" s="64">
        <f>E7+E12</f>
        <v/>
      </c>
    </row>
    <row r="14">
      <c r="A14" s="3" t="inlineStr">
        <is>
          <t>Pro forma EPS ($)</t>
        </is>
      </c>
      <c r="B14" s="64">
        <f>B11/B13</f>
        <v/>
      </c>
      <c r="C14" s="64">
        <f>C11/C13</f>
        <v/>
      </c>
      <c r="D14" s="64">
        <f>D11/D13</f>
        <v/>
      </c>
      <c r="E14" s="64">
        <f>E11/E13</f>
        <v/>
      </c>
    </row>
    <row r="15"/>
    <row r="16">
      <c r="A16" s="4" t="inlineStr">
        <is>
          <t>Accretion / (Dilution)</t>
        </is>
      </c>
      <c r="B16" s="4" t="n"/>
      <c r="C16" s="4" t="n"/>
      <c r="D16" s="4" t="n"/>
      <c r="E16" s="4" t="n"/>
    </row>
    <row r="17">
      <c r="A17" s="3" t="inlineStr">
        <is>
          <t>$ A/D per share</t>
        </is>
      </c>
      <c r="B17" s="64">
        <f>B14-B8</f>
        <v/>
      </c>
      <c r="C17" s="64">
        <f>C14-C8</f>
        <v/>
      </c>
      <c r="D17" s="64">
        <f>D14-D8</f>
        <v/>
      </c>
      <c r="E17" s="64">
        <f>E14-E8</f>
        <v/>
      </c>
    </row>
    <row r="18">
      <c r="A18" s="4" t="inlineStr">
        <is>
          <t>% A/D</t>
        </is>
      </c>
      <c r="B18" s="64">
        <f>B17/B8</f>
        <v/>
      </c>
      <c r="C18" s="64">
        <f>C17/C8</f>
        <v/>
      </c>
      <c r="D18" s="64">
        <f>D17/D8</f>
        <v/>
      </c>
      <c r="E18" s="64">
        <f>E17/E8</f>
        <v/>
      </c>
    </row>
    <row r="19"/>
    <row r="20">
      <c r="A20" s="4" t="inlineStr">
        <is>
          <t>Mgmt announce-day benchmark</t>
        </is>
      </c>
      <c r="B20" s="4" t="n"/>
      <c r="C20" s="4" t="n"/>
      <c r="D20" s="4" t="n"/>
      <c r="E20" s="4" t="n"/>
    </row>
    <row r="21">
      <c r="A21" s="3" t="inlineStr">
        <is>
          <t>Mgmt EPS accretion 2027 (&gt;15%)</t>
        </is>
      </c>
      <c r="E21" s="60" t="n">
        <v>0.155</v>
      </c>
    </row>
    <row r="22">
      <c r="A22" s="3" t="inlineStr">
        <is>
          <t>My case vs Mgmt (Δ pp)</t>
        </is>
      </c>
      <c r="E22" s="64">
        <f>(E18-E21)*100</f>
        <v/>
      </c>
    </row>
    <row r="23"/>
    <row r="24">
      <c r="A24" s="4" t="inlineStr">
        <is>
          <t>EARNINGS IMPACT FOOTNOTES (Marquee Step 12)</t>
        </is>
      </c>
      <c r="B24" s="4" t="n"/>
      <c r="C24" s="4" t="n"/>
      <c r="D24" s="4" t="n"/>
      <c r="E24" s="4" t="n"/>
    </row>
    <row r="25">
      <c r="A25" s="30" t="inlineStr">
        <is>
          <t>(1) Additional interest expense (all-stock deal)</t>
        </is>
      </c>
    </row>
    <row r="26">
      <c r="A26" s="3" t="inlineStr">
        <is>
          <t xml:space="preserve">    New debt issued ($M)</t>
        </is>
      </c>
      <c r="B26" s="61" t="n">
        <v>0</v>
      </c>
    </row>
    <row r="27">
      <c r="A27" s="3" t="inlineStr">
        <is>
          <t xml:space="preserve">    Pre-tax interest rate</t>
        </is>
      </c>
      <c r="B27" s="60" t="n">
        <v>0.05</v>
      </c>
    </row>
    <row r="28">
      <c r="A28" s="3" t="inlineStr">
        <is>
          <t xml:space="preserve">    Pre-tax interest expense ($M)</t>
        </is>
      </c>
      <c r="B28" s="72">
        <f>B26*B27</f>
        <v/>
      </c>
    </row>
    <row r="29">
      <c r="A29" s="3" t="inlineStr">
        <is>
          <t xml:space="preserve">    After-tax interest expense ($M)</t>
        </is>
      </c>
      <c r="B29" s="74">
        <f>B28*(1-Cover!B40)</f>
        <v/>
      </c>
    </row>
    <row r="30"/>
    <row r="31">
      <c r="A31" s="30" t="inlineStr">
        <is>
          <t>(2) After-tax synergies</t>
        </is>
      </c>
    </row>
    <row r="32">
      <c r="A32" s="3" t="inlineStr">
        <is>
          <t xml:space="preserve">    2027 after-tax synergies ($M)</t>
        </is>
      </c>
      <c r="B32" s="74">
        <f>Synergies!L18</f>
        <v/>
      </c>
    </row>
    <row r="33"/>
    <row r="34">
      <c r="A34" s="30" t="inlineStr">
        <is>
          <t>(3) After-tax intangible amortization</t>
        </is>
      </c>
    </row>
    <row r="35">
      <c r="A35" s="3" t="inlineStr">
        <is>
          <t xml:space="preserve">    2027 after-tax amort ($M, reduces NI)</t>
        </is>
      </c>
      <c r="B35" s="74">
        <f>IntAmort!D20</f>
        <v/>
      </c>
    </row>
    <row r="36"/>
    <row r="37">
      <c r="A37" s="30" t="inlineStr">
        <is>
          <t>(4) Pro-forma diluted shares</t>
        </is>
      </c>
    </row>
    <row r="38">
      <c r="A38" s="3" t="inlineStr">
        <is>
          <t xml:space="preserve">    2027 PF diluted shares (M)</t>
        </is>
      </c>
      <c r="B38" s="64">
        <f>D13</f>
        <v/>
      </c>
    </row>
    <row r="39">
      <c r="A39" s="32" t="inlineStr">
        <is>
          <t>(5) BREAKEVEN PRE-TAX SYNERGIES (Marquee canonical Footnote 5)</t>
        </is>
      </c>
      <c r="B39" s="32" t="n"/>
      <c r="C39" s="32" t="n"/>
      <c r="D39" s="32" t="n"/>
      <c r="E39" s="32" t="n"/>
    </row>
    <row r="40">
      <c r="A40" s="33" t="inlineStr">
        <is>
          <t xml:space="preserve">    Formula: A/D $ × PF shares ÷ (1 − tax rate)</t>
        </is>
      </c>
    </row>
    <row r="41">
      <c r="A41" s="3" t="inlineStr">
        <is>
          <t xml:space="preserve">    2027 A/(D) per share ($)</t>
        </is>
      </c>
      <c r="B41" s="76">
        <f>D17</f>
        <v/>
      </c>
    </row>
    <row r="42">
      <c r="A42" s="3" t="inlineStr">
        <is>
          <t xml:space="preserve">    2027 PF diluted shares (M)</t>
        </is>
      </c>
      <c r="B42" s="64">
        <f>D13</f>
        <v/>
      </c>
    </row>
    <row r="43">
      <c r="A43" s="3" t="inlineStr">
        <is>
          <t xml:space="preserve">    Tax rate</t>
        </is>
      </c>
      <c r="B43" s="83">
        <f>Cover!B40</f>
        <v/>
      </c>
    </row>
    <row r="44">
      <c r="A44" s="3" t="inlineStr">
        <is>
          <t xml:space="preserve">    1 − Tax rate</t>
        </is>
      </c>
      <c r="B44" s="77">
        <f>1-B43</f>
        <v/>
      </c>
    </row>
    <row r="45">
      <c r="A45" s="35" t="inlineStr">
        <is>
          <t xml:space="preserve">    Pre-tax synergies required for EPS breakeven ($M)</t>
        </is>
      </c>
      <c r="B45" s="84">
        <f>B41*B42/B44</f>
        <v/>
      </c>
    </row>
    <row r="46">
      <c r="A46" s="37" t="inlineStr">
        <is>
          <t xml:space="preserve">    Interpretation: pre-tax synergies that could be lost before A/(D) crosses to zero (the "cushion").</t>
        </is>
      </c>
    </row>
    <row r="47"/>
    <row r="48">
      <c r="A48" s="20" t="inlineStr">
        <is>
          <t>Source: Marquee/TTS Step 12 (Earnings Impact Footnotes) per Columbia Merger Model v24.0. Footnote 5 is the canonical "breakeven synergies" cushion every TTS-trained candidate computes on a whiteboard.</t>
        </is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tabColor rgb="FF70AD47"/>
    <outlinePr summaryBelow="1" summaryRight="1"/>
    <pageSetUpPr/>
  </sheetPr>
  <dimension ref="A1:H22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50.7109375" customWidth="1" min="1" max="1"/>
    <col width="13.7109375" customWidth="1" min="2" max="8"/>
  </cols>
  <sheetData>
    <row r="1">
      <c r="A1" s="1" t="inlineStr">
        <is>
          <t>Analysis at Various Prices</t>
        </is>
      </c>
    </row>
    <row r="2">
      <c r="A2" s="2" t="inlineStr">
        <is>
          <t>Capital One / Discover · 1-Year Retrospective · $M unless noted</t>
        </is>
      </c>
    </row>
    <row r="3"/>
    <row r="4">
      <c r="A4" s="35" t="inlineStr">
        <is>
          <t>Offer price per DFS share</t>
        </is>
      </c>
      <c r="B4" s="85" t="n">
        <v>115</v>
      </c>
      <c r="C4" s="85" t="n">
        <v>125</v>
      </c>
      <c r="D4" s="85" t="n">
        <v>135</v>
      </c>
      <c r="E4" s="86" t="n">
        <v>139.84</v>
      </c>
      <c r="F4" s="85" t="n">
        <v>150</v>
      </c>
      <c r="G4" s="85" t="n">
        <v>160</v>
      </c>
      <c r="H4" s="85" t="n">
        <v>175</v>
      </c>
    </row>
    <row r="5"/>
    <row r="6">
      <c r="A6" s="4" t="inlineStr">
        <is>
          <t>IMPLIED PREMIUM AND OFFER VALUE</t>
        </is>
      </c>
      <c r="B6" s="4" t="n"/>
      <c r="C6" s="4" t="n"/>
      <c r="D6" s="4" t="n"/>
      <c r="E6" s="4" t="n"/>
      <c r="F6" s="4" t="n"/>
      <c r="G6" s="4" t="n"/>
      <c r="H6" s="4" t="n"/>
    </row>
    <row r="7">
      <c r="A7" s="13" t="inlineStr">
        <is>
          <t>Implied premium % (vs. $110.49 unaffected)</t>
        </is>
      </c>
      <c r="B7" s="83">
        <f>B4/Cover!$B$11-1</f>
        <v/>
      </c>
      <c r="C7" s="83">
        <f>C4/Cover!$B$11-1</f>
        <v/>
      </c>
      <c r="D7" s="83">
        <f>D4/Cover!$B$11-1</f>
        <v/>
      </c>
      <c r="E7" s="87">
        <f>E4/Cover!$B$11-1</f>
        <v/>
      </c>
      <c r="F7" s="83">
        <f>F4/Cover!$B$11-1</f>
        <v/>
      </c>
      <c r="G7" s="83">
        <f>G4/Cover!$B$11-1</f>
        <v/>
      </c>
      <c r="H7" s="83">
        <f>H4/Cover!$B$11-1</f>
        <v/>
      </c>
    </row>
    <row r="8">
      <c r="A8" s="13" t="inlineStr">
        <is>
          <t>DFS diluted shares (M)</t>
        </is>
      </c>
      <c r="B8" s="59" t="n">
        <v>252</v>
      </c>
      <c r="C8" s="59" t="n">
        <v>252</v>
      </c>
      <c r="D8" s="59" t="n">
        <v>252</v>
      </c>
      <c r="E8" s="88" t="n">
        <v>252</v>
      </c>
      <c r="F8" s="59" t="n">
        <v>252</v>
      </c>
      <c r="G8" s="59" t="n">
        <v>252</v>
      </c>
      <c r="H8" s="59" t="n">
        <v>252</v>
      </c>
    </row>
    <row r="9">
      <c r="A9" s="13" t="inlineStr">
        <is>
          <t>Offer value ($B)</t>
        </is>
      </c>
      <c r="B9" s="71">
        <f>B4*B8/1000</f>
        <v/>
      </c>
      <c r="C9" s="71">
        <f>C4*C8/1000</f>
        <v/>
      </c>
      <c r="D9" s="71">
        <f>D4*D8/1000</f>
        <v/>
      </c>
      <c r="E9" s="89">
        <f>E4*E8/1000</f>
        <v/>
      </c>
      <c r="F9" s="71">
        <f>F4*F8/1000</f>
        <v/>
      </c>
      <c r="G9" s="71">
        <f>G4*G8/1000</f>
        <v/>
      </c>
      <c r="H9" s="71">
        <f>H4*H8/1000</f>
        <v/>
      </c>
    </row>
    <row r="10">
      <c r="A10" s="13" t="inlineStr">
        <is>
          <t>+ DFS net debt at close ($B)</t>
        </is>
      </c>
      <c r="B10" s="68" t="n">
        <v>22</v>
      </c>
      <c r="C10" s="68" t="n">
        <v>22</v>
      </c>
      <c r="D10" s="68" t="n">
        <v>22</v>
      </c>
      <c r="E10" s="90" t="n">
        <v>22</v>
      </c>
      <c r="F10" s="68" t="n">
        <v>22</v>
      </c>
      <c r="G10" s="68" t="n">
        <v>22</v>
      </c>
      <c r="H10" s="68" t="n">
        <v>22</v>
      </c>
    </row>
    <row r="11">
      <c r="A11" s="16" t="inlineStr">
        <is>
          <t>Transaction value ($B)</t>
        </is>
      </c>
      <c r="B11" s="71">
        <f>B9+B10</f>
        <v/>
      </c>
      <c r="C11" s="71">
        <f>C9+C10</f>
        <v/>
      </c>
      <c r="D11" s="71">
        <f>D9+D10</f>
        <v/>
      </c>
      <c r="E11" s="89">
        <f>E9+E10</f>
        <v/>
      </c>
      <c r="F11" s="71">
        <f>F9+F10</f>
        <v/>
      </c>
      <c r="G11" s="71">
        <f>G9+G10</f>
        <v/>
      </c>
      <c r="H11" s="71">
        <f>H9+H10</f>
        <v/>
      </c>
    </row>
    <row r="12"/>
    <row r="13">
      <c r="A13" s="4" t="inlineStr">
        <is>
          <t>MULTIPLES PAID</t>
        </is>
      </c>
      <c r="B13" s="4" t="n"/>
      <c r="C13" s="4" t="n"/>
      <c r="D13" s="4" t="n"/>
      <c r="E13" s="4" t="n"/>
      <c r="F13" s="4" t="n"/>
      <c r="G13" s="4" t="n"/>
      <c r="H13" s="4" t="n"/>
    </row>
    <row r="14">
      <c r="A14" s="13" t="inlineStr">
        <is>
          <t>TV / LTM revenue (DFS FY24 $17.9B)</t>
        </is>
      </c>
      <c r="B14" s="78">
        <f>B11/17.9</f>
        <v/>
      </c>
      <c r="C14" s="78">
        <f>C11/17.9</f>
        <v/>
      </c>
      <c r="D14" s="78">
        <f>D11/17.9</f>
        <v/>
      </c>
      <c r="E14" s="91">
        <f>E11/17.9</f>
        <v/>
      </c>
      <c r="F14" s="78">
        <f>F11/17.9</f>
        <v/>
      </c>
      <c r="G14" s="78">
        <f>G11/17.9</f>
        <v/>
      </c>
      <c r="H14" s="78">
        <f>H11/17.9</f>
        <v/>
      </c>
    </row>
    <row r="15">
      <c r="A15" s="13" t="inlineStr">
        <is>
          <t>P / LTM EPS (DFS FY24 EPS $17.72)</t>
        </is>
      </c>
      <c r="B15" s="78">
        <f>B4/17.72</f>
        <v/>
      </c>
      <c r="C15" s="78">
        <f>C4/17.72</f>
        <v/>
      </c>
      <c r="D15" s="78">
        <f>D4/17.72</f>
        <v/>
      </c>
      <c r="E15" s="91">
        <f>E4/17.72</f>
        <v/>
      </c>
      <c r="F15" s="78">
        <f>F4/17.72</f>
        <v/>
      </c>
      <c r="G15" s="78">
        <f>G4/17.72</f>
        <v/>
      </c>
      <c r="H15" s="78">
        <f>H4/17.72</f>
        <v/>
      </c>
    </row>
    <row r="16">
      <c r="A16" s="13" t="inlineStr">
        <is>
          <t>P / FY25E EPS (consensus ~$18.00)</t>
        </is>
      </c>
      <c r="B16" s="78">
        <f>B4/18.00</f>
        <v/>
      </c>
      <c r="C16" s="78">
        <f>C4/18.00</f>
        <v/>
      </c>
      <c r="D16" s="78">
        <f>D4/18.00</f>
        <v/>
      </c>
      <c r="E16" s="91">
        <f>E4/18.00</f>
        <v/>
      </c>
      <c r="F16" s="78">
        <f>F4/18.00</f>
        <v/>
      </c>
      <c r="G16" s="78">
        <f>G4/18.00</f>
        <v/>
      </c>
      <c r="H16" s="78">
        <f>H4/18.00</f>
        <v/>
      </c>
    </row>
    <row r="17">
      <c r="A17" s="13" t="inlineStr">
        <is>
          <t>P / FY26E EPS (consensus ~$19.50)</t>
        </is>
      </c>
      <c r="B17" s="78">
        <f>B4/19.50</f>
        <v/>
      </c>
      <c r="C17" s="78">
        <f>C4/19.50</f>
        <v/>
      </c>
      <c r="D17" s="78">
        <f>D4/19.50</f>
        <v/>
      </c>
      <c r="E17" s="91">
        <f>E4/19.50</f>
        <v/>
      </c>
      <c r="F17" s="78">
        <f>F4/19.50</f>
        <v/>
      </c>
      <c r="G17" s="78">
        <f>G4/19.50</f>
        <v/>
      </c>
      <c r="H17" s="78">
        <f>H4/19.50</f>
        <v/>
      </c>
    </row>
    <row r="18">
      <c r="A18" s="13" t="inlineStr">
        <is>
          <t>P / FY27E EPS (consensus ~$21.00)</t>
        </is>
      </c>
      <c r="B18" s="78">
        <f>B4/21.00</f>
        <v/>
      </c>
      <c r="C18" s="78">
        <f>C4/21.00</f>
        <v/>
      </c>
      <c r="D18" s="78">
        <f>D4/21.00</f>
        <v/>
      </c>
      <c r="E18" s="91">
        <f>E4/21.00</f>
        <v/>
      </c>
      <c r="F18" s="78">
        <f>F4/21.00</f>
        <v/>
      </c>
      <c r="G18" s="78">
        <f>G4/21.00</f>
        <v/>
      </c>
      <c r="H18" s="78">
        <f>H4/21.00</f>
        <v/>
      </c>
    </row>
    <row r="19">
      <c r="A19" s="13" t="inlineStr">
        <is>
          <t>P / TBV (DFS TBV/sh at close ~$70)</t>
        </is>
      </c>
      <c r="B19" s="78">
        <f>B4/70</f>
        <v/>
      </c>
      <c r="C19" s="78">
        <f>C4/70</f>
        <v/>
      </c>
      <c r="D19" s="78">
        <f>D4/70</f>
        <v/>
      </c>
      <c r="E19" s="91">
        <f>E4/70</f>
        <v/>
      </c>
      <c r="F19" s="78">
        <f>F4/70</f>
        <v/>
      </c>
      <c r="G19" s="78">
        <f>G4/70</f>
        <v/>
      </c>
      <c r="H19" s="78">
        <f>H4/70</f>
        <v/>
      </c>
    </row>
    <row r="20"/>
    <row r="21">
      <c r="A21" s="20" t="inlineStr">
        <is>
          <t>Source: Author's calculations using COF and DFS Q1 2025 disclosure + I/B/E/S consensus estimates. Deal price column ($139.84 = 1.0192 × COF $137.20 announce-day implied) highlighted in yellow.</t>
        </is>
      </c>
    </row>
    <row r="22">
      <c r="A22" s="20" t="inlineStr">
        <is>
          <t>Note: Consensus EPS figures approximate; pull live values from Capital IQ / Bloomberg before public sharing.</t>
        </is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tabColor rgb="FF70AD47"/>
    <outlinePr summaryBelow="1" summaryRight="1"/>
    <pageSetUpPr/>
  </sheetPr>
  <dimension ref="A1:E3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.7109375" customWidth="1" min="1" max="1"/>
    <col width="16.7109375" customWidth="1" min="2" max="5"/>
  </cols>
  <sheetData>
    <row r="1">
      <c r="A1" s="1" t="inlineStr">
        <is>
          <t>Stacked Data Tables · Marquee Step 14</t>
        </is>
      </c>
    </row>
    <row r="2">
      <c r="A2" s="2" t="inlineStr">
        <is>
          <t>Capital One / Discover · 1-Year Retrospective · $M unless noted</t>
        </is>
      </c>
    </row>
    <row r="3"/>
    <row r="4">
      <c r="A4" s="4" t="inlineStr">
        <is>
          <t>CREDIT STATISTICS BY % STOCK CONSIDERATION</t>
        </is>
      </c>
      <c r="B4" s="4" t="n"/>
      <c r="C4" s="4" t="n"/>
      <c r="D4" s="4" t="n"/>
    </row>
    <row r="5"/>
    <row r="6">
      <c r="A6" s="45" t="inlineStr">
        <is>
          <t>% Stock</t>
        </is>
      </c>
      <c r="B6" s="11" t="inlineStr">
        <is>
          <t>Debt / EBITDA (x)</t>
        </is>
      </c>
      <c r="C6" s="11" t="inlineStr">
        <is>
          <t>Debt / Capital (%)</t>
        </is>
      </c>
    </row>
    <row r="7">
      <c r="A7" s="6" t="n">
        <v>0</v>
      </c>
      <c r="B7" s="78">
        <f>(66+(1-B7)*35.3)/22</f>
        <v/>
      </c>
      <c r="C7" s="77">
        <f>(66+(1-B7)*35.3)/(66+(1-B7)*35.3+64+B7*35.3)</f>
        <v/>
      </c>
    </row>
    <row r="8">
      <c r="A8" s="6" t="n">
        <v>0.1</v>
      </c>
      <c r="B8" s="78">
        <f>(66+(1-B8)*35.3)/22</f>
        <v/>
      </c>
      <c r="C8" s="77">
        <f>(66+(1-B8)*35.3)/(66+(1-B8)*35.3+64+B8*35.3)</f>
        <v/>
      </c>
    </row>
    <row r="9">
      <c r="A9" s="6" t="n">
        <v>0.2</v>
      </c>
      <c r="B9" s="78">
        <f>(66+(1-B9)*35.3)/22</f>
        <v/>
      </c>
      <c r="C9" s="77">
        <f>(66+(1-B9)*35.3)/(66+(1-B9)*35.3+64+B9*35.3)</f>
        <v/>
      </c>
    </row>
    <row r="10">
      <c r="A10" s="6" t="n">
        <v>0.3</v>
      </c>
      <c r="B10" s="78">
        <f>(66+(1-B10)*35.3)/22</f>
        <v/>
      </c>
      <c r="C10" s="77">
        <f>(66+(1-B10)*35.3)/(66+(1-B10)*35.3+64+B10*35.3)</f>
        <v/>
      </c>
    </row>
    <row r="11">
      <c r="A11" s="6" t="n">
        <v>0.4</v>
      </c>
      <c r="B11" s="78">
        <f>(66+(1-B11)*35.3)/22</f>
        <v/>
      </c>
      <c r="C11" s="77">
        <f>(66+(1-B11)*35.3)/(66+(1-B11)*35.3+64+B11*35.3)</f>
        <v/>
      </c>
    </row>
    <row r="12">
      <c r="A12" s="6" t="n">
        <v>0.5</v>
      </c>
      <c r="B12" s="78">
        <f>(66+(1-B12)*35.3)/22</f>
        <v/>
      </c>
      <c r="C12" s="77">
        <f>(66+(1-B12)*35.3)/(66+(1-B12)*35.3+64+B12*35.3)</f>
        <v/>
      </c>
    </row>
    <row r="13">
      <c r="A13" s="6" t="n">
        <v>0.6000000000000001</v>
      </c>
      <c r="B13" s="78">
        <f>(66+(1-B13)*35.3)/22</f>
        <v/>
      </c>
      <c r="C13" s="77">
        <f>(66+(1-B13)*35.3)/(66+(1-B13)*35.3+64+B13*35.3)</f>
        <v/>
      </c>
    </row>
    <row r="14">
      <c r="A14" s="6" t="n">
        <v>0.7000000000000001</v>
      </c>
      <c r="B14" s="78">
        <f>(66+(1-B14)*35.3)/22</f>
        <v/>
      </c>
      <c r="C14" s="77">
        <f>(66+(1-B14)*35.3)/(66+(1-B14)*35.3+64+B14*35.3)</f>
        <v/>
      </c>
    </row>
    <row r="15">
      <c r="A15" s="6" t="n">
        <v>0.8</v>
      </c>
      <c r="B15" s="78">
        <f>(66+(1-B15)*35.3)/22</f>
        <v/>
      </c>
      <c r="C15" s="77">
        <f>(66+(1-B15)*35.3)/(66+(1-B15)*35.3+64+B15*35.3)</f>
        <v/>
      </c>
    </row>
    <row r="16">
      <c r="A16" s="6" t="n">
        <v>0.9</v>
      </c>
      <c r="B16" s="78">
        <f>(66+(1-B16)*35.3)/22</f>
        <v/>
      </c>
      <c r="C16" s="77">
        <f>(66+(1-B16)*35.3)/(66+(1-B16)*35.3+64+B16*35.3)</f>
        <v/>
      </c>
    </row>
    <row r="17">
      <c r="A17" s="46" t="n">
        <v>1</v>
      </c>
      <c r="B17" s="78">
        <f>(66+(1-B17)*35.3)/22</f>
        <v/>
      </c>
      <c r="C17" s="77">
        <f>(66+(1-B17)*35.3)/(66+(1-B17)*35.3+64+B17*35.3)</f>
        <v/>
      </c>
    </row>
    <row r="18"/>
    <row r="19">
      <c r="A19" s="20" t="inlineStr">
        <is>
          <t>Source: Author's model. Baseline debt $66B (PF total), incremental debt at 5% pre-tax. PPNR proxy $22B (PF). Deal-case row (100% stock) shaded.</t>
        </is>
      </c>
    </row>
    <row r="20"/>
    <row r="21">
      <c r="A21" s="4" t="inlineStr">
        <is>
          <t>GAAP EPS A/(D) % BY % STOCK CONSIDERATION</t>
        </is>
      </c>
      <c r="B21" s="4" t="n"/>
      <c r="C21" s="4" t="n"/>
      <c r="D21" s="4" t="n"/>
      <c r="E21" s="4" t="n"/>
    </row>
    <row r="22"/>
    <row r="23">
      <c r="A23" s="45" t="inlineStr">
        <is>
          <t>% Stock</t>
        </is>
      </c>
      <c r="B23" s="11" t="inlineStr">
        <is>
          <t>PROJ 1 (2025E)</t>
        </is>
      </c>
      <c r="C23" s="11" t="inlineStr">
        <is>
          <t>PROJ 2 (2026E)</t>
        </is>
      </c>
      <c r="D23" s="11" t="inlineStr">
        <is>
          <t>PROJ 3 (2027E)</t>
        </is>
      </c>
    </row>
    <row r="24">
      <c r="A24" s="6" t="n">
        <v>0</v>
      </c>
      <c r="B24" s="77">
        <f>(-0.20)+(B24)*0.15</f>
        <v/>
      </c>
      <c r="C24" s="77">
        <f>(-0.10)+(B24)*0.08</f>
        <v/>
      </c>
      <c r="D24" s="77">
        <f>(-0.08)+(B24)*0.113</f>
        <v/>
      </c>
    </row>
    <row r="25">
      <c r="A25" s="6" t="n">
        <v>0.1</v>
      </c>
      <c r="B25" s="77">
        <f>(-0.20)+(B25)*0.15</f>
        <v/>
      </c>
      <c r="C25" s="77">
        <f>(-0.10)+(B25)*0.08</f>
        <v/>
      </c>
      <c r="D25" s="77">
        <f>(-0.08)+(B25)*0.113</f>
        <v/>
      </c>
    </row>
    <row r="26">
      <c r="A26" s="6" t="n">
        <v>0.2</v>
      </c>
      <c r="B26" s="77">
        <f>(-0.20)+(B26)*0.15</f>
        <v/>
      </c>
      <c r="C26" s="77">
        <f>(-0.10)+(B26)*0.08</f>
        <v/>
      </c>
      <c r="D26" s="77">
        <f>(-0.08)+(B26)*0.113</f>
        <v/>
      </c>
    </row>
    <row r="27">
      <c r="A27" s="6" t="n">
        <v>0.3</v>
      </c>
      <c r="B27" s="77">
        <f>(-0.20)+(B27)*0.15</f>
        <v/>
      </c>
      <c r="C27" s="77">
        <f>(-0.10)+(B27)*0.08</f>
        <v/>
      </c>
      <c r="D27" s="77">
        <f>(-0.08)+(B27)*0.113</f>
        <v/>
      </c>
    </row>
    <row r="28">
      <c r="A28" s="6" t="n">
        <v>0.4</v>
      </c>
      <c r="B28" s="77">
        <f>(-0.20)+(B28)*0.15</f>
        <v/>
      </c>
      <c r="C28" s="77">
        <f>(-0.10)+(B28)*0.08</f>
        <v/>
      </c>
      <c r="D28" s="77">
        <f>(-0.08)+(B28)*0.113</f>
        <v/>
      </c>
    </row>
    <row r="29">
      <c r="A29" s="6" t="n">
        <v>0.5</v>
      </c>
      <c r="B29" s="77">
        <f>(-0.20)+(B29)*0.15</f>
        <v/>
      </c>
      <c r="C29" s="77">
        <f>(-0.10)+(B29)*0.08</f>
        <v/>
      </c>
      <c r="D29" s="77">
        <f>(-0.08)+(B29)*0.113</f>
        <v/>
      </c>
    </row>
    <row r="30">
      <c r="A30" s="6" t="n">
        <v>0.6000000000000001</v>
      </c>
      <c r="B30" s="77">
        <f>(-0.20)+(B30)*0.15</f>
        <v/>
      </c>
      <c r="C30" s="77">
        <f>(-0.10)+(B30)*0.08</f>
        <v/>
      </c>
      <c r="D30" s="77">
        <f>(-0.08)+(B30)*0.113</f>
        <v/>
      </c>
    </row>
    <row r="31">
      <c r="A31" s="6" t="n">
        <v>0.7000000000000001</v>
      </c>
      <c r="B31" s="77">
        <f>(-0.20)+(B31)*0.15</f>
        <v/>
      </c>
      <c r="C31" s="77">
        <f>(-0.10)+(B31)*0.08</f>
        <v/>
      </c>
      <c r="D31" s="77">
        <f>(-0.08)+(B31)*0.113</f>
        <v/>
      </c>
    </row>
    <row r="32">
      <c r="A32" s="6" t="n">
        <v>0.8</v>
      </c>
      <c r="B32" s="77">
        <f>(-0.20)+(B32)*0.15</f>
        <v/>
      </c>
      <c r="C32" s="77">
        <f>(-0.10)+(B32)*0.08</f>
        <v/>
      </c>
      <c r="D32" s="77">
        <f>(-0.08)+(B32)*0.113</f>
        <v/>
      </c>
    </row>
    <row r="33">
      <c r="A33" s="6" t="n">
        <v>0.9</v>
      </c>
      <c r="B33" s="77">
        <f>(-0.20)+(B33)*0.15</f>
        <v/>
      </c>
      <c r="C33" s="77">
        <f>(-0.10)+(B33)*0.08</f>
        <v/>
      </c>
      <c r="D33" s="77">
        <f>(-0.08)+(B33)*0.113</f>
        <v/>
      </c>
    </row>
    <row r="34">
      <c r="A34" s="46" t="n">
        <v>1</v>
      </c>
      <c r="B34" s="77">
        <f>(-0.20)+(B34)*0.15</f>
        <v/>
      </c>
      <c r="C34" s="77">
        <f>(-0.10)+(B34)*0.08</f>
        <v/>
      </c>
      <c r="D34" s="77">
        <f>(-0.08)+(B34)*0.113</f>
        <v/>
      </c>
    </row>
    <row r="35"/>
    <row r="36">
      <c r="A36" s="20" t="inlineStr">
        <is>
          <t>Source: Marquee canonical Step 14 one-way data table format. Linear interpolation between 0% stock (all-cash with 5% debt cost) and 100% stock endpoints. For a live Excel data-table feature, set the row input cell to a % Stock toggle on Cover and rebuild via Data &gt; What-If &gt; Data Table.</t>
        </is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>
  <sheetPr>
    <tabColor rgb="FF70AD47"/>
    <outlinePr summaryBelow="1" summaryRight="1"/>
    <pageSetUpPr/>
  </sheetPr>
  <dimension ref="A1:E2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.7109375" customWidth="1" min="1" max="1"/>
    <col width="16.7109375" customWidth="1" min="2" max="5"/>
  </cols>
  <sheetData>
    <row r="1">
      <c r="A1" s="1" t="inlineStr">
        <is>
          <t>Contribution Analysis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Revenue ($B)</t>
        </is>
      </c>
      <c r="C4" s="11" t="inlineStr">
        <is>
          <t>Net Income ($B)</t>
        </is>
      </c>
      <c r="D4" s="11" t="inlineStr">
        <is>
          <t>Common Equity ($B)</t>
        </is>
      </c>
      <c r="E4" s="11" t="inlineStr">
        <is>
          <t>Market Cap at Announce ($B)</t>
        </is>
      </c>
    </row>
    <row r="5">
      <c r="A5" s="4" t="inlineStr">
        <is>
          <t>COMPANY CONTRIBUTION</t>
        </is>
      </c>
      <c r="B5" s="4" t="n"/>
      <c r="C5" s="4" t="n"/>
      <c r="D5" s="4" t="n"/>
      <c r="E5" s="4" t="n"/>
    </row>
    <row r="6">
      <c r="A6" s="13" t="inlineStr">
        <is>
          <t>COF (FY24A)</t>
        </is>
      </c>
      <c r="B6" s="68" t="n">
        <v>39.1</v>
      </c>
      <c r="C6" s="68" t="n">
        <v>4.75</v>
      </c>
      <c r="D6" s="68" t="n">
        <v>60</v>
      </c>
      <c r="E6" s="68" t="n">
        <v>53</v>
      </c>
    </row>
    <row r="7">
      <c r="A7" s="13" t="inlineStr">
        <is>
          <t>DFS (FY24A)</t>
        </is>
      </c>
      <c r="B7" s="68" t="n">
        <v>17.9</v>
      </c>
      <c r="C7" s="68" t="n">
        <v>4.54</v>
      </c>
      <c r="D7" s="68" t="n">
        <v>17.9</v>
      </c>
      <c r="E7" s="68" t="n">
        <v>26</v>
      </c>
    </row>
    <row r="8">
      <c r="A8" s="16" t="inlineStr">
        <is>
          <t>Pro-forma combined</t>
        </is>
      </c>
      <c r="B8" s="69">
        <f>B6+B7</f>
        <v/>
      </c>
      <c r="C8" s="69">
        <f>C6+C7</f>
        <v/>
      </c>
      <c r="D8" s="69">
        <f>D6+D7</f>
        <v/>
      </c>
      <c r="E8" s="69">
        <f>E6+E7</f>
        <v/>
      </c>
    </row>
    <row r="9"/>
    <row r="10">
      <c r="A10" s="4" t="inlineStr">
        <is>
          <t>CONTRIBUTION %</t>
        </is>
      </c>
      <c r="B10" s="4" t="n"/>
      <c r="C10" s="4" t="n"/>
      <c r="D10" s="4" t="n"/>
      <c r="E10" s="4" t="n"/>
    </row>
    <row r="11">
      <c r="A11" s="13" t="inlineStr">
        <is>
          <t>COF share %</t>
        </is>
      </c>
      <c r="B11" s="77">
        <f>B6/B8</f>
        <v/>
      </c>
      <c r="C11" s="77">
        <f>C6/C8</f>
        <v/>
      </c>
      <c r="D11" s="77">
        <f>D6/D8</f>
        <v/>
      </c>
      <c r="E11" s="77">
        <f>E6/E8</f>
        <v/>
      </c>
    </row>
    <row r="12">
      <c r="A12" s="13" t="inlineStr">
        <is>
          <t>DFS share %</t>
        </is>
      </c>
      <c r="B12" s="77">
        <f>B7/B8</f>
        <v/>
      </c>
      <c r="C12" s="77">
        <f>C7/C8</f>
        <v/>
      </c>
      <c r="D12" s="77">
        <f>D7/D8</f>
        <v/>
      </c>
      <c r="E12" s="77">
        <f>E7/E8</f>
        <v/>
      </c>
    </row>
    <row r="13"/>
    <row r="14">
      <c r="A14" s="4" t="inlineStr">
        <is>
          <t>POST-DEAL OWNERSHIP</t>
        </is>
      </c>
      <c r="B14" s="4" t="n"/>
      <c r="C14" s="4" t="n"/>
      <c r="D14" s="4" t="n"/>
      <c r="E14" s="4" t="n"/>
    </row>
    <row r="15">
      <c r="A15" s="13" t="inlineStr">
        <is>
          <t>COF pre-deal shares (M)</t>
        </is>
      </c>
      <c r="B15" s="59" t="n">
        <v>410</v>
      </c>
    </row>
    <row r="16">
      <c r="A16" s="13" t="inlineStr">
        <is>
          <t>New shares issued to DFS holders (M)</t>
        </is>
      </c>
      <c r="B16" s="59" t="n">
        <v>252.8</v>
      </c>
    </row>
    <row r="17">
      <c r="A17" s="16" t="inlineStr">
        <is>
          <t>PF diluted shares (M)</t>
        </is>
      </c>
      <c r="B17" s="92">
        <f>B15+B16</f>
        <v/>
      </c>
    </row>
    <row r="18">
      <c r="A18" s="13" t="inlineStr">
        <is>
          <t>COF ownership %</t>
        </is>
      </c>
      <c r="B18" s="77">
        <f>B15/B17</f>
        <v/>
      </c>
    </row>
    <row r="19">
      <c r="A19" s="13" t="inlineStr">
        <is>
          <t>DFS ownership %</t>
        </is>
      </c>
      <c r="B19" s="77">
        <f>B16/B17</f>
        <v/>
      </c>
    </row>
    <row r="20"/>
    <row r="21">
      <c r="A21" s="4" t="inlineStr">
        <is>
          <t>CONTRIBUTION VS. OWNERSHIP GAP</t>
        </is>
      </c>
      <c r="B21" s="4" t="n"/>
      <c r="C21" s="4" t="n"/>
      <c r="D21" s="4" t="n"/>
      <c r="E21" s="4" t="n"/>
    </row>
    <row r="22">
      <c r="A22" s="13" t="inlineStr">
        <is>
          <t>DFS NI contribution % (col C)</t>
        </is>
      </c>
      <c r="B22" s="77">
        <f>C12</f>
        <v/>
      </c>
    </row>
    <row r="23">
      <c r="A23" s="13" t="inlineStr">
        <is>
          <t>DFS post-deal ownership %</t>
        </is>
      </c>
      <c r="B23" s="77">
        <f>B19</f>
        <v/>
      </c>
    </row>
    <row r="24">
      <c r="A24" s="16" t="inlineStr">
        <is>
          <t>Gap (pp) [+ means COF holders captured &gt; 1:1 share]</t>
        </is>
      </c>
      <c r="B24" s="80">
        <f>(B22-B23)*100</f>
        <v/>
      </c>
    </row>
    <row r="25"/>
    <row r="26">
      <c r="A26" s="20" t="inlineStr">
        <is>
          <t>Observation: DFS contributed ~49% of combined FY24 NI; its shareholders received ~38% of PF equity. The 11pp gap is the rough static NI uplift COF shareholders captured before any synergy realization.</t>
        </is>
      </c>
    </row>
    <row r="27">
      <c r="A27" s="20" t="inlineStr">
        <is>
          <t>Source: COF and DFS FY24 10-K filings; new shares issued per S-4 (Mar 2024) + COF Q2 2025 10-Q close disclosure.</t>
        </is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>
  <sheetPr>
    <tabColor rgb="FF70AD47"/>
    <outlinePr summaryBelow="1" summaryRight="1"/>
    <pageSetUpPr/>
  </sheetPr>
  <dimension ref="A1:E16"/>
  <sheetViews>
    <sheetView showGridLines="0" workbookViewId="0">
      <selection activeCell="A1" sqref="A1"/>
    </sheetView>
  </sheetViews>
  <sheetFormatPr baseColWidth="8" defaultRowHeight="15"/>
  <cols>
    <col width="22.7109375" customWidth="1" min="1" max="5"/>
  </cols>
  <sheetData>
    <row r="1">
      <c r="A1" s="1" t="inlineStr">
        <is>
          <t>Sensitivity · 2027 EPS Accretion</t>
        </is>
      </c>
    </row>
    <row r="2">
      <c r="A2" s="2" t="inlineStr">
        <is>
          <t>Capital One / Discover · 1-Year Retrospective | $M unless noted</t>
        </is>
      </c>
    </row>
    <row r="3"/>
    <row r="4">
      <c r="A4" s="3" t="inlineStr">
        <is>
          <t>2027 EPS A/D % · Synergy Realization × Phase-In Aggressiveness</t>
        </is>
      </c>
    </row>
    <row r="5"/>
    <row r="6">
      <c r="A6" s="3" t="inlineStr">
        <is>
          <t>Synergy realization % (rows) × phase-in (cols)</t>
        </is>
      </c>
    </row>
    <row r="7">
      <c r="B7" s="3" t="inlineStr">
        <is>
          <t>Slow (50% by 2027)</t>
        </is>
      </c>
      <c r="C7" s="3" t="inlineStr">
        <is>
          <t>Mid (75%)</t>
        </is>
      </c>
      <c r="D7" s="3" t="inlineStr">
        <is>
          <t>Mgmt (100%)</t>
        </is>
      </c>
      <c r="E7" s="3" t="inlineStr">
        <is>
          <t>Stretch (110%)</t>
        </is>
      </c>
    </row>
    <row r="8">
      <c r="A8" s="3" t="inlineStr">
        <is>
          <t>50%</t>
        </is>
      </c>
      <c r="B8" s="66">
        <f>((Combined!D8+Cover!$B$30*0.5*0.5*(1-Cover!$B$40))/(A_D!D7+A_D!D12))/(A_D!D8)-1</f>
        <v/>
      </c>
      <c r="C8" s="66">
        <f>((Combined!D8+Cover!$B$30*0.5*0.75*(1-Cover!$B$40))/(A_D!D7+A_D!D12))/(A_D!D8)-1</f>
        <v/>
      </c>
      <c r="D8" s="66">
        <f>((Combined!D8+Cover!$B$30*0.5*1.0*(1-Cover!$B$40))/(A_D!D7+A_D!D12))/(A_D!D8)-1</f>
        <v/>
      </c>
      <c r="E8" s="66">
        <f>((Combined!D8+Cover!$B$30*0.5*1.1*(1-Cover!$B$40))/(A_D!D7+A_D!D12))/(A_D!D8)-1</f>
        <v/>
      </c>
    </row>
    <row r="9">
      <c r="A9" s="3" t="inlineStr">
        <is>
          <t>65%</t>
        </is>
      </c>
      <c r="B9" s="66">
        <f>((Combined!D8+Cover!$B$30*0.65*0.5*(1-Cover!$B$40))/(A_D!D7+A_D!D12))/(A_D!D8)-1</f>
        <v/>
      </c>
      <c r="C9" s="66">
        <f>((Combined!D8+Cover!$B$30*0.65*0.75*(1-Cover!$B$40))/(A_D!D7+A_D!D12))/(A_D!D8)-1</f>
        <v/>
      </c>
      <c r="D9" s="66">
        <f>((Combined!D8+Cover!$B$30*0.65*1.0*(1-Cover!$B$40))/(A_D!D7+A_D!D12))/(A_D!D8)-1</f>
        <v/>
      </c>
      <c r="E9" s="66">
        <f>((Combined!D8+Cover!$B$30*0.65*1.1*(1-Cover!$B$40))/(A_D!D7+A_D!D12))/(A_D!D8)-1</f>
        <v/>
      </c>
    </row>
    <row r="10">
      <c r="A10" s="3" t="inlineStr">
        <is>
          <t>80%</t>
        </is>
      </c>
      <c r="B10" s="66">
        <f>((Combined!D8+Cover!$B$30*0.8*0.5*(1-Cover!$B$40))/(A_D!D7+A_D!D12))/(A_D!D8)-1</f>
        <v/>
      </c>
      <c r="C10" s="66">
        <f>((Combined!D8+Cover!$B$30*0.8*0.75*(1-Cover!$B$40))/(A_D!D7+A_D!D12))/(A_D!D8)-1</f>
        <v/>
      </c>
      <c r="D10" s="66">
        <f>((Combined!D8+Cover!$B$30*0.8*1.0*(1-Cover!$B$40))/(A_D!D7+A_D!D12))/(A_D!D8)-1</f>
        <v/>
      </c>
      <c r="E10" s="66">
        <f>((Combined!D8+Cover!$B$30*0.8*1.1*(1-Cover!$B$40))/(A_D!D7+A_D!D12))/(A_D!D8)-1</f>
        <v/>
      </c>
    </row>
    <row r="11">
      <c r="A11" s="3" t="inlineStr">
        <is>
          <t>100%</t>
        </is>
      </c>
      <c r="B11" s="66">
        <f>((Combined!D8+Cover!$B$30*1.0*0.5*(1-Cover!$B$40))/(A_D!D7+A_D!D12))/(A_D!D8)-1</f>
        <v/>
      </c>
      <c r="C11" s="66">
        <f>((Combined!D8+Cover!$B$30*1.0*0.75*(1-Cover!$B$40))/(A_D!D7+A_D!D12))/(A_D!D8)-1</f>
        <v/>
      </c>
      <c r="D11" s="66">
        <f>((Combined!D8+Cover!$B$30*1.0*1.0*(1-Cover!$B$40))/(A_D!D7+A_D!D12))/(A_D!D8)-1</f>
        <v/>
      </c>
      <c r="E11" s="66">
        <f>((Combined!D8+Cover!$B$30*1.0*1.1*(1-Cover!$B$40))/(A_D!D7+A_D!D12))/(A_D!D8)-1</f>
        <v/>
      </c>
    </row>
    <row r="12"/>
    <row r="13"/>
    <row r="14">
      <c r="A14" s="3" t="inlineStr">
        <is>
          <t>My active case (Haircut, 65% phase-in by 2027)</t>
        </is>
      </c>
    </row>
    <row r="15">
      <c r="A15" s="3" t="inlineStr">
        <is>
          <t>Mgmt announce: 100% phase × 100% realization → ~15% A/D (per mgmt guidance)</t>
        </is>
      </c>
    </row>
    <row r="16">
      <c r="A16" s="3" t="inlineStr">
        <is>
          <t>Sources: COF Q2 2025/Q3 2025/Q4 2025/Q1 2026 transcripts; Fed approval order Apr-2025; OCC conditional approval</t>
        </is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>
  <sheetPr>
    <tabColor rgb="FF70AD47"/>
    <outlinePr summaryBelow="1" summaryRight="1"/>
    <pageSetUpPr/>
  </sheetPr>
  <dimension ref="A1:D3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.7109375" customWidth="1" min="1" max="1"/>
    <col width="16.7109375" customWidth="1" min="2" max="4"/>
  </cols>
  <sheetData>
    <row r="1">
      <c r="A1" s="1" t="inlineStr">
        <is>
          <t>Comparing Structures · 100% Stock / 100% Cash / 50-50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100% Stock</t>
        </is>
      </c>
      <c r="C4" s="11" t="inlineStr">
        <is>
          <t>100% Cash</t>
        </is>
      </c>
      <c r="D4" s="11" t="inlineStr">
        <is>
          <t>50 / 50</t>
        </is>
      </c>
    </row>
    <row r="5">
      <c r="A5" s="4" t="inlineStr">
        <is>
          <t>CONSIDERATION MIX</t>
        </is>
      </c>
      <c r="B5" s="4" t="n"/>
      <c r="C5" s="4" t="n"/>
      <c r="D5" s="4" t="n"/>
    </row>
    <row r="6">
      <c r="A6" s="13" t="inlineStr">
        <is>
          <t>% Stock consideration</t>
        </is>
      </c>
      <c r="B6" s="60" t="n">
        <v>1</v>
      </c>
      <c r="C6" s="60" t="n">
        <v>0</v>
      </c>
      <c r="D6" s="60" t="n">
        <v>0.5</v>
      </c>
    </row>
    <row r="7">
      <c r="A7" s="13" t="inlineStr">
        <is>
          <t>New shares issued (M)</t>
        </is>
      </c>
      <c r="B7" s="64">
        <f>B6*252.8</f>
        <v/>
      </c>
      <c r="C7" s="64">
        <f>C6*252.8</f>
        <v/>
      </c>
      <c r="D7" s="64">
        <f>D6*252.8</f>
        <v/>
      </c>
    </row>
    <row r="8">
      <c r="A8" s="13" t="inlineStr">
        <is>
          <t>New debt raised ($B)</t>
        </is>
      </c>
      <c r="B8" s="71">
        <f>(1-B6)*35.3</f>
        <v/>
      </c>
      <c r="C8" s="71">
        <f>(1-C6)*35.3</f>
        <v/>
      </c>
      <c r="D8" s="71">
        <f>(1-D6)*35.3</f>
        <v/>
      </c>
    </row>
    <row r="9"/>
    <row r="10">
      <c r="A10" s="4" t="inlineStr">
        <is>
          <t>FINANCING COST (CASH-FUNDED PORTION)</t>
        </is>
      </c>
      <c r="B10" s="4" t="n"/>
      <c r="C10" s="4" t="n"/>
      <c r="D10" s="4" t="n"/>
    </row>
    <row r="11">
      <c r="A11" s="13" t="inlineStr">
        <is>
          <t>Pre-tax cost of new debt</t>
        </is>
      </c>
      <c r="B11" s="60" t="n">
        <v>0.05</v>
      </c>
      <c r="C11" s="60" t="n">
        <v>0.05</v>
      </c>
      <c r="D11" s="60" t="n">
        <v>0.05</v>
      </c>
    </row>
    <row r="12">
      <c r="A12" s="13" t="inlineStr">
        <is>
          <t>Annual pre-tax interest ($M)</t>
        </is>
      </c>
      <c r="B12" s="72">
        <f>B8*1000*B11</f>
        <v/>
      </c>
      <c r="C12" s="72">
        <f>C8*1000*C11</f>
        <v/>
      </c>
      <c r="D12" s="72">
        <f>D8*1000*D11</f>
        <v/>
      </c>
    </row>
    <row r="13">
      <c r="A13" s="13" t="inlineStr">
        <is>
          <t>Annual after-tax interest ($M)</t>
        </is>
      </c>
      <c r="B13" s="74">
        <f>B12*(1-Cover!$B$40)</f>
        <v/>
      </c>
      <c r="C13" s="74">
        <f>C12*(1-Cover!$B$40)</f>
        <v/>
      </c>
      <c r="D13" s="74">
        <f>D12*(1-Cover!$B$40)</f>
        <v/>
      </c>
    </row>
    <row r="14"/>
    <row r="15">
      <c r="A15" s="4" t="inlineStr">
        <is>
          <t>2027 PRO-FORMA EARNINGS (MGMT CASE)</t>
        </is>
      </c>
      <c r="B15" s="4" t="n"/>
      <c r="C15" s="4" t="n"/>
      <c r="D15" s="4" t="n"/>
    </row>
    <row r="16">
      <c r="A16" s="13" t="inlineStr">
        <is>
          <t>COF 2027 NI standalone ($M)</t>
        </is>
      </c>
      <c r="B16" s="74">
        <f>A_D!D6</f>
        <v/>
      </c>
      <c r="C16" s="74">
        <f>A_D!D6</f>
        <v/>
      </c>
      <c r="D16" s="74">
        <f>A_D!D6</f>
        <v/>
      </c>
    </row>
    <row r="17">
      <c r="A17" s="13" t="inlineStr">
        <is>
          <t>DFS 2027 NI standalone ($M)</t>
        </is>
      </c>
      <c r="B17" s="61" t="n">
        <v>5300</v>
      </c>
      <c r="C17" s="61" t="n">
        <v>5300</v>
      </c>
      <c r="D17" s="61" t="n">
        <v>5300</v>
      </c>
    </row>
    <row r="18">
      <c r="A18" s="13" t="inlineStr">
        <is>
          <t>Mgmt-case after-tax synergies 2027 ($M)</t>
        </is>
      </c>
      <c r="B18" s="61" t="n">
        <v>2133</v>
      </c>
      <c r="C18" s="61" t="n">
        <v>2133</v>
      </c>
      <c r="D18" s="61" t="n">
        <v>2133</v>
      </c>
    </row>
    <row r="19">
      <c r="A19" s="13" t="inlineStr">
        <is>
          <t>After-tax intangible amort 2027 ($M)</t>
        </is>
      </c>
      <c r="B19" s="74">
        <f>IntAmort!D20</f>
        <v/>
      </c>
      <c r="C19" s="74">
        <f>IntAmort!D20</f>
        <v/>
      </c>
      <c r="D19" s="74">
        <f>IntAmort!D20</f>
        <v/>
      </c>
    </row>
    <row r="20">
      <c r="A20" s="16" t="inlineStr">
        <is>
          <t>PF NI 2027 ($M)</t>
        </is>
      </c>
      <c r="B20" s="73">
        <f>B16+B17+B18-B19-B13</f>
        <v/>
      </c>
      <c r="C20" s="73">
        <f>C16+C17+C18-C19-C13</f>
        <v/>
      </c>
      <c r="D20" s="73">
        <f>D16+D17+D18-D19-D13</f>
        <v/>
      </c>
    </row>
    <row r="21"/>
    <row r="22">
      <c r="A22" s="4" t="inlineStr">
        <is>
          <t>EPS AND ACCRETION</t>
        </is>
      </c>
      <c r="B22" s="4" t="n"/>
      <c r="C22" s="4" t="n"/>
      <c r="D22" s="4" t="n"/>
    </row>
    <row r="23">
      <c r="A23" s="13" t="inlineStr">
        <is>
          <t>PF diluted shares (M)</t>
        </is>
      </c>
      <c r="B23" s="64">
        <f>410+B7</f>
        <v/>
      </c>
      <c r="C23" s="64">
        <f>410+C7</f>
        <v/>
      </c>
      <c r="D23" s="64">
        <f>410+D7</f>
        <v/>
      </c>
    </row>
    <row r="24">
      <c r="A24" s="16" t="inlineStr">
        <is>
          <t>PF EPS 2027 ($)</t>
        </is>
      </c>
      <c r="B24" s="93">
        <f>B20/B23</f>
        <v/>
      </c>
      <c r="C24" s="93">
        <f>C20/C23</f>
        <v/>
      </c>
      <c r="D24" s="93">
        <f>D20/D23</f>
        <v/>
      </c>
    </row>
    <row r="25">
      <c r="A25" s="13" t="inlineStr">
        <is>
          <t>COF standalone EPS 2027 ($)</t>
        </is>
      </c>
      <c r="B25" s="94">
        <f>A_D!D8</f>
        <v/>
      </c>
      <c r="C25" s="94">
        <f>A_D!D8</f>
        <v/>
      </c>
      <c r="D25" s="94">
        <f>A_D!D8</f>
        <v/>
      </c>
    </row>
    <row r="26">
      <c r="A26" s="13" t="inlineStr">
        <is>
          <t>A/(D) per share ($)</t>
        </is>
      </c>
      <c r="B26" s="76">
        <f>B24-B25</f>
        <v/>
      </c>
      <c r="C26" s="76">
        <f>C24-C25</f>
        <v/>
      </c>
      <c r="D26" s="76">
        <f>D24-D25</f>
        <v/>
      </c>
    </row>
    <row r="27">
      <c r="A27" s="16" t="inlineStr">
        <is>
          <t>A/(D) % vs. standalone</t>
        </is>
      </c>
      <c r="B27" s="79">
        <f>B26/B25</f>
        <v/>
      </c>
      <c r="C27" s="79">
        <f>C26/C25</f>
        <v/>
      </c>
      <c r="D27" s="79">
        <f>D26/D25</f>
        <v/>
      </c>
    </row>
    <row r="28"/>
    <row r="29">
      <c r="A29" s="4" t="inlineStr">
        <is>
          <t>BREAKEVEN AND CREDIT</t>
        </is>
      </c>
      <c r="B29" s="4" t="n"/>
      <c r="C29" s="4" t="n"/>
      <c r="D29" s="4" t="n"/>
    </row>
    <row r="30">
      <c r="A30" s="13" t="inlineStr">
        <is>
          <t>Breakeven pre-tax synergies ($M)</t>
        </is>
      </c>
      <c r="B30" s="74">
        <f>B26*B23/(1-Cover!$B$40)</f>
        <v/>
      </c>
      <c r="C30" s="74">
        <f>C26*C23/(1-Cover!$B$40)</f>
        <v/>
      </c>
      <c r="D30" s="74">
        <f>D26*D23/(1-Cover!$B$40)</f>
        <v/>
      </c>
    </row>
    <row r="31">
      <c r="A31" s="13" t="inlineStr">
        <is>
          <t>PF Debt / PPNR (x)</t>
        </is>
      </c>
      <c r="B31" s="78">
        <f>(66+B8)/22</f>
        <v/>
      </c>
      <c r="C31" s="78">
        <f>(66+C8)/22</f>
        <v/>
      </c>
      <c r="D31" s="78">
        <f>(66+D8)/22</f>
        <v/>
      </c>
    </row>
    <row r="32">
      <c r="A32" s="13" t="inlineStr">
        <is>
          <t>PF CET1 (approx)</t>
        </is>
      </c>
      <c r="B32" s="77">
        <f>0.14-B8/35.3*0.004</f>
        <v/>
      </c>
      <c r="C32" s="77">
        <f>0.14-C8/35.3*0.004</f>
        <v/>
      </c>
      <c r="D32" s="77">
        <f>0.14-D8/35.3*0.004</f>
        <v/>
      </c>
    </row>
    <row r="33">
      <c r="A33" s="13" t="inlineStr">
        <is>
          <t>COF ownership %</t>
        </is>
      </c>
      <c r="B33" s="77">
        <f>410/B23</f>
        <v/>
      </c>
      <c r="C33" s="77">
        <f>410/C23</f>
        <v/>
      </c>
      <c r="D33" s="77">
        <f>410/D23</f>
        <v/>
      </c>
    </row>
    <row r="34"/>
    <row r="35">
      <c r="A35" s="20" t="inlineStr">
        <is>
          <t>Source: Author's model; Mgmt-case synergies assumed at $2.7B pre-tax × 79% after-tax. Cash-deal interest cost 5% pre-tax per COF Q1 2025 10-Q new-issue spreads. CET1 sensitivity is a stylized approximation (each $35B cash deployment costs ~40bps).</t>
        </is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tabColor rgb="FF4F81BD"/>
    <outlinePr summaryBelow="1" summaryRight="1"/>
    <pageSetUpPr/>
  </sheetPr>
  <dimension ref="A1:K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1.7109375" customWidth="1" min="1" max="1"/>
    <col width="22.7109375" customWidth="1" min="2" max="2"/>
    <col width="26.7109375" customWidth="1" min="3" max="3"/>
    <col width="16.7109375" customWidth="1" min="4" max="5"/>
    <col width="13.7109375" customWidth="1" min="6" max="6"/>
    <col width="16.7109375" customWidth="1" min="7" max="7"/>
    <col width="13.7109375" customWidth="1" min="8" max="8"/>
    <col width="16.7109375" customWidth="1" min="9" max="9"/>
    <col width="60.7109375" customWidth="1" min="10" max="10"/>
  </cols>
  <sheetData>
    <row r="1">
      <c r="A1" s="1" t="inlineStr">
        <is>
          <t>Precedent Transactions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Date</t>
        </is>
      </c>
      <c r="C4" s="11" t="inlineStr">
        <is>
          <t>Acquirer</t>
        </is>
      </c>
      <c r="D4" s="11" t="inlineStr">
        <is>
          <t>Target</t>
        </is>
      </c>
      <c r="E4" s="11" t="inlineStr">
        <is>
          <t>Deal Value ($B)</t>
        </is>
      </c>
      <c r="F4" s="11" t="inlineStr">
        <is>
          <t>Consideration</t>
        </is>
      </c>
      <c r="G4" s="11" t="inlineStr">
        <is>
          <t>Premium %</t>
        </is>
      </c>
      <c r="H4" s="11" t="inlineStr">
        <is>
          <t>EV / Deposits</t>
        </is>
      </c>
      <c r="I4" s="11" t="inlineStr">
        <is>
          <t>P / TBV (x)</t>
        </is>
      </c>
      <c r="J4" s="11" t="inlineStr">
        <is>
          <t>P / NTM EPS (x)</t>
        </is>
      </c>
      <c r="K4" s="11" t="inlineStr">
        <is>
          <t>Strategic Rationale</t>
        </is>
      </c>
    </row>
    <row r="5">
      <c r="A5" s="3" t="inlineStr">
        <is>
          <t>Jun-2005</t>
        </is>
      </c>
      <c r="B5" s="3" t="inlineStr">
        <is>
          <t>Bank of America</t>
        </is>
      </c>
      <c r="C5" s="3" t="inlineStr">
        <is>
          <t>MBNA</t>
        </is>
      </c>
      <c r="D5" s="68" t="n">
        <v>35</v>
      </c>
      <c r="E5" s="3" t="inlineStr">
        <is>
          <t>Stock + cash</t>
        </is>
      </c>
      <c r="F5" s="60" t="n">
        <v>0.3</v>
      </c>
      <c r="G5" s="60" t="n">
        <v>0.18</v>
      </c>
      <c r="H5" s="95" t="n">
        <v>3.5</v>
      </c>
      <c r="I5" s="95" t="n">
        <v>16</v>
      </c>
      <c r="J5" s="3" t="inlineStr">
        <is>
          <t>US card issuer roll-up; $850M expense synergies</t>
        </is>
      </c>
    </row>
    <row r="6">
      <c r="A6" s="3" t="inlineStr">
        <is>
          <t>Feb-2019</t>
        </is>
      </c>
      <c r="B6" s="3" t="inlineStr">
        <is>
          <t>BB&amp;T</t>
        </is>
      </c>
      <c r="C6" s="3" t="inlineStr">
        <is>
          <t>SunTrust (Truist)</t>
        </is>
      </c>
      <c r="D6" s="68" t="n">
        <v>66</v>
      </c>
      <c r="E6" s="3" t="inlineStr">
        <is>
          <t>100% stock</t>
        </is>
      </c>
      <c r="F6" s="60" t="n">
        <v>0.07000000000000001</v>
      </c>
      <c r="G6" s="60" t="n">
        <v>0.2</v>
      </c>
      <c r="H6" s="95" t="n">
        <v>1.8</v>
      </c>
      <c r="I6" s="95" t="n">
        <v>11.5</v>
      </c>
      <c r="J6" s="3" t="inlineStr">
        <is>
          <t>Branch network consolidation; $1.6B run-rate cost syn</t>
        </is>
      </c>
    </row>
    <row r="7">
      <c r="A7" s="3" t="inlineStr">
        <is>
          <t>Sep-2021</t>
        </is>
      </c>
      <c r="B7" s="3" t="inlineStr">
        <is>
          <t>US Bancorp</t>
        </is>
      </c>
      <c r="C7" s="3" t="inlineStr">
        <is>
          <t>MUFG Union Bank</t>
        </is>
      </c>
      <c r="D7" s="68" t="n">
        <v>8</v>
      </c>
      <c r="E7" s="3" t="inlineStr">
        <is>
          <t>Stock + cash</t>
        </is>
      </c>
      <c r="F7" s="60" t="n">
        <v>0.25</v>
      </c>
      <c r="G7" s="60" t="n">
        <v>0.13</v>
      </c>
      <c r="H7" s="95" t="n">
        <v>1.3</v>
      </c>
      <c r="I7" s="95" t="n">
        <v>9.5</v>
      </c>
      <c r="J7" s="3" t="inlineStr">
        <is>
          <t>Cal/WA branch density; deposit base acquisition</t>
        </is>
      </c>
    </row>
    <row r="8">
      <c r="A8" s="3" t="inlineStr">
        <is>
          <t>Dec-2021</t>
        </is>
      </c>
      <c r="B8" s="3" t="inlineStr">
        <is>
          <t>BMO</t>
        </is>
      </c>
      <c r="C8" s="3" t="inlineStr">
        <is>
          <t>Bank of the West</t>
        </is>
      </c>
      <c r="D8" s="68" t="n">
        <v>16.3</v>
      </c>
      <c r="E8" s="3" t="inlineStr">
        <is>
          <t>All cash</t>
        </is>
      </c>
      <c r="F8" s="60" t="n">
        <v>0.3</v>
      </c>
      <c r="G8" s="60" t="n">
        <v>0.18</v>
      </c>
      <c r="H8" s="95" t="n">
        <v>1.5</v>
      </c>
      <c r="I8" s="95" t="n">
        <v>10</v>
      </c>
      <c r="J8" s="3" t="inlineStr">
        <is>
          <t>US Western expansion; BNP Paribas exit</t>
        </is>
      </c>
    </row>
    <row r="9">
      <c r="A9" s="3" t="inlineStr">
        <is>
          <t>Feb-2022</t>
        </is>
      </c>
      <c r="B9" s="3" t="inlineStr">
        <is>
          <t>TD</t>
        </is>
      </c>
      <c r="C9" s="3" t="inlineStr">
        <is>
          <t>First Horizon (term. 2023)</t>
        </is>
      </c>
      <c r="D9" s="68" t="n">
        <v>13.4</v>
      </c>
      <c r="E9" s="3" t="inlineStr">
        <is>
          <t>All cash</t>
        </is>
      </c>
      <c r="F9" s="60" t="n">
        <v>0.37</v>
      </c>
      <c r="G9" s="60" t="n">
        <v>0.21</v>
      </c>
      <c r="H9" s="95" t="n">
        <v>1.4</v>
      </c>
      <c r="I9" s="95" t="n">
        <v>9.800000000000001</v>
      </c>
      <c r="J9" s="3" t="inlineStr">
        <is>
          <t>Terminated May 2023 over OCC approval delays</t>
        </is>
      </c>
    </row>
    <row r="10">
      <c r="A10" s="3" t="inlineStr">
        <is>
          <t>Aug-2011</t>
        </is>
      </c>
      <c r="B10" s="3" t="inlineStr">
        <is>
          <t>Capital One</t>
        </is>
      </c>
      <c r="C10" s="3" t="inlineStr">
        <is>
          <t>HSBC US Cards</t>
        </is>
      </c>
      <c r="D10" s="68" t="n">
        <v>2.6</v>
      </c>
      <c r="E10" s="3" t="inlineStr">
        <is>
          <t>All cash</t>
        </is>
      </c>
      <c r="F10" s="60" t="n">
        <v>0</v>
      </c>
      <c r="J10" s="3" t="inlineStr">
        <is>
          <t>Card portfolio purchase; $30B in receivables</t>
        </is>
      </c>
    </row>
    <row r="11">
      <c r="A11" s="3" t="inlineStr">
        <is>
          <t>Jan-2005</t>
        </is>
      </c>
      <c r="B11" s="3" t="inlineStr">
        <is>
          <t>Discover</t>
        </is>
      </c>
      <c r="C11" s="3" t="inlineStr">
        <is>
          <t>Pulse</t>
        </is>
      </c>
      <c r="D11" s="68" t="n">
        <v>0.3</v>
      </c>
      <c r="E11" s="3" t="inlineStr">
        <is>
          <t>All cash</t>
        </is>
      </c>
      <c r="J11" s="3" t="inlineStr">
        <is>
          <t>Acquired US debit network; foundation for Discover Debit</t>
        </is>
      </c>
    </row>
    <row r="12">
      <c r="A12" s="3" t="inlineStr">
        <is>
          <t>Jun-2005</t>
        </is>
      </c>
      <c r="B12" s="3" t="inlineStr">
        <is>
          <t>Bank of America</t>
        </is>
      </c>
      <c r="C12" s="3" t="inlineStr">
        <is>
          <t>MBNA (close-comp)</t>
        </is>
      </c>
      <c r="D12" s="68" t="n">
        <v>35</v>
      </c>
      <c r="E12" s="3" t="inlineStr">
        <is>
          <t>Stock + cash</t>
        </is>
      </c>
      <c r="F12" s="60" t="n">
        <v>0.3</v>
      </c>
      <c r="G12" s="60" t="n">
        <v>0.18</v>
      </c>
      <c r="H12" s="95" t="n">
        <v>3.5</v>
      </c>
      <c r="I12" s="95" t="n">
        <v>16</v>
      </c>
      <c r="J12" s="3" t="inlineStr">
        <is>
          <t>Closest precedent to COF/DFS: bank+card consolidation</t>
        </is>
      </c>
    </row>
    <row r="13"/>
    <row r="14">
      <c r="A14" s="3" t="inlineStr"/>
      <c r="B14" s="3" t="inlineStr"/>
      <c r="C14" s="30" t="inlineStr">
        <is>
          <t>Median</t>
        </is>
      </c>
      <c r="D14" s="69">
        <f>MEDIAN(D5:D12)</f>
        <v/>
      </c>
      <c r="F14" s="96">
        <f>MEDIAN(F5:F12)</f>
        <v/>
      </c>
      <c r="G14" s="96">
        <f>MEDIAN(G5:G12)</f>
        <v/>
      </c>
      <c r="H14" s="97">
        <f>MEDIAN(H5:H12)</f>
        <v/>
      </c>
      <c r="I14" s="97">
        <f>MEDIAN(I5:I12)</f>
        <v/>
      </c>
    </row>
    <row r="15"/>
    <row r="16">
      <c r="A16" s="35" t="inlineStr">
        <is>
          <t>Feb-2024</t>
        </is>
      </c>
      <c r="B16" s="35" t="inlineStr">
        <is>
          <t>Capital One</t>
        </is>
      </c>
      <c r="C16" s="35" t="inlineStr">
        <is>
          <t>Discover</t>
        </is>
      </c>
      <c r="D16" s="98" t="n">
        <v>35.3</v>
      </c>
      <c r="E16" s="35" t="inlineStr">
        <is>
          <t>100% stock</t>
        </is>
      </c>
      <c r="F16" s="99" t="n">
        <v>0.266</v>
      </c>
      <c r="H16" s="100" t="n">
        <v>2</v>
      </c>
      <c r="I16" s="100" t="n">
        <v>7.8</v>
      </c>
      <c r="J16" s="35" t="inlineStr">
        <is>
          <t>Subject deal · for comparison</t>
        </is>
      </c>
    </row>
    <row r="17"/>
    <row r="18">
      <c r="A18" s="20" t="inlineStr">
        <is>
          <t>Source: SNL Financial / S&amp;P Capital IQ / S-4 filings. Multiples approximate; verify before public sharing. Distressed-period deals (JPM/WaMu 2008, Wells/Wachovia 2008) excluded as non-comparable.</t>
        </is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>
  <sheetPr>
    <tabColor rgb="FF4F81BD"/>
    <outlinePr summaryBelow="1" summaryRight="1"/>
    <pageSetUpPr/>
  </sheetPr>
  <dimension ref="A1:I2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.7109375" customWidth="1" min="1" max="1"/>
    <col width="14.7109375" customWidth="1" min="2" max="8"/>
  </cols>
  <sheetData>
    <row r="1">
      <c r="A1" s="1" t="inlineStr">
        <is>
          <t>Trading Comparables · May 2026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Ticker</t>
        </is>
      </c>
      <c r="C4" s="11" t="inlineStr">
        <is>
          <t>Mkt Cap ($B)</t>
        </is>
      </c>
      <c r="D4" s="11" t="inlineStr">
        <is>
          <t>P / E (x)</t>
        </is>
      </c>
      <c r="E4" s="11" t="inlineStr">
        <is>
          <t>P / TBV (x)</t>
        </is>
      </c>
      <c r="F4" s="11" t="inlineStr">
        <is>
          <t>ROTCE %</t>
        </is>
      </c>
      <c r="G4" s="11" t="inlineStr">
        <is>
          <t>NIM %</t>
        </is>
      </c>
      <c r="H4" s="11" t="inlineStr">
        <is>
          <t>Efficiency %</t>
        </is>
      </c>
      <c r="I4" s="11" t="inlineStr">
        <is>
          <t>CET1 %</t>
        </is>
      </c>
    </row>
    <row r="5">
      <c r="A5" s="4" t="inlineStr">
        <is>
          <t>CARD-CENTRIC BANKS</t>
        </is>
      </c>
      <c r="B5" s="4" t="n"/>
      <c r="C5" s="4" t="n"/>
      <c r="D5" s="4" t="n"/>
      <c r="E5" s="4" t="n"/>
      <c r="F5" s="4" t="n"/>
      <c r="G5" s="4" t="n"/>
      <c r="H5" s="4" t="n"/>
    </row>
    <row r="6">
      <c r="A6" s="13" t="inlineStr">
        <is>
          <t>COF (pre-deal Feb-2024)</t>
        </is>
      </c>
      <c r="B6" s="68" t="n">
        <v>53</v>
      </c>
      <c r="C6" s="95" t="n">
        <v>11.5</v>
      </c>
      <c r="D6" s="95" t="n">
        <v>1.3</v>
      </c>
      <c r="E6" s="60" t="n">
        <v>0.12</v>
      </c>
      <c r="F6" s="60" t="n">
        <v>0.066</v>
      </c>
      <c r="G6" s="60" t="n">
        <v>0.55</v>
      </c>
      <c r="H6" s="60" t="n">
        <v>0.135</v>
      </c>
    </row>
    <row r="7">
      <c r="A7" s="16" t="inlineStr">
        <is>
          <t>COF (post-deal May-2026)</t>
        </is>
      </c>
      <c r="B7" s="68" t="n">
        <v>65</v>
      </c>
      <c r="C7" s="95" t="n">
        <v>9.5</v>
      </c>
      <c r="D7" s="95" t="n">
        <v>1.4</v>
      </c>
      <c r="E7" s="60" t="n">
        <v>0.14</v>
      </c>
      <c r="F7" s="60" t="n">
        <v>0.068</v>
      </c>
      <c r="G7" s="60" t="n">
        <v>0.52</v>
      </c>
      <c r="H7" s="60" t="n">
        <v>0.14</v>
      </c>
    </row>
    <row r="8">
      <c r="A8" s="13" t="inlineStr">
        <is>
          <t>AXP</t>
        </is>
      </c>
      <c r="B8" s="68" t="n">
        <v>220</v>
      </c>
      <c r="C8" s="95" t="n">
        <v>18.5</v>
      </c>
      <c r="D8" s="95" t="n">
        <v>6.5</v>
      </c>
      <c r="E8" s="60" t="n">
        <v>0.32</v>
      </c>
      <c r="F8" s="60" t="n">
        <v>0.024</v>
      </c>
      <c r="G8" s="60" t="n">
        <v>0.42</v>
      </c>
      <c r="H8" s="60" t="n">
        <v>0.107</v>
      </c>
    </row>
    <row r="9">
      <c r="A9" s="13" t="inlineStr">
        <is>
          <t>DFS (pre-deal Feb-2024)</t>
        </is>
      </c>
      <c r="B9" s="68" t="n">
        <v>22</v>
      </c>
      <c r="C9" s="95" t="n">
        <v>6.5</v>
      </c>
      <c r="D9" s="95" t="n">
        <v>1.1</v>
      </c>
      <c r="E9" s="60" t="n">
        <v>0.18</v>
      </c>
      <c r="F9" s="60" t="n">
        <v>0.11</v>
      </c>
      <c r="G9" s="60" t="n">
        <v>0.4</v>
      </c>
      <c r="H9" s="60" t="n">
        <v>0.114</v>
      </c>
    </row>
    <row r="10"/>
    <row r="11">
      <c r="A11" s="4" t="inlineStr">
        <is>
          <t>LARGE REGIONAL BANKS</t>
        </is>
      </c>
      <c r="B11" s="4" t="n"/>
      <c r="C11" s="4" t="n"/>
      <c r="D11" s="4" t="n"/>
      <c r="E11" s="4" t="n"/>
      <c r="F11" s="4" t="n"/>
      <c r="G11" s="4" t="n"/>
      <c r="H11" s="4" t="n"/>
    </row>
    <row r="12">
      <c r="A12" s="13" t="inlineStr">
        <is>
          <t>USB</t>
        </is>
      </c>
      <c r="B12" s="68" t="n">
        <v>78</v>
      </c>
      <c r="C12" s="95" t="n">
        <v>11</v>
      </c>
      <c r="D12" s="95" t="n">
        <v>1.6</v>
      </c>
      <c r="E12" s="60" t="n">
        <v>0.145</v>
      </c>
      <c r="F12" s="60" t="n">
        <v>0.029</v>
      </c>
      <c r="G12" s="60" t="n">
        <v>0.58</v>
      </c>
      <c r="H12" s="60" t="n">
        <v>0.108</v>
      </c>
    </row>
    <row r="13">
      <c r="A13" s="13" t="inlineStr">
        <is>
          <t>FITB</t>
        </is>
      </c>
      <c r="B13" s="68" t="n">
        <v>25</v>
      </c>
      <c r="C13" s="95" t="n">
        <v>10.5</v>
      </c>
      <c r="D13" s="95" t="n">
        <v>1.4</v>
      </c>
      <c r="E13" s="60" t="n">
        <v>0.13</v>
      </c>
      <c r="F13" s="60" t="n">
        <v>0.03</v>
      </c>
      <c r="G13" s="60" t="n">
        <v>0.57</v>
      </c>
      <c r="H13" s="60" t="n">
        <v>0.105</v>
      </c>
    </row>
    <row r="14">
      <c r="A14" s="13" t="inlineStr">
        <is>
          <t>KEY</t>
        </is>
      </c>
      <c r="B14" s="68" t="n">
        <v>18</v>
      </c>
      <c r="C14" s="95" t="n">
        <v>11.5</v>
      </c>
      <c r="D14" s="95" t="n">
        <v>1.2</v>
      </c>
      <c r="E14" s="60" t="n">
        <v>0.11</v>
      </c>
      <c r="F14" s="60" t="n">
        <v>0.026</v>
      </c>
      <c r="G14" s="60" t="n">
        <v>0.62</v>
      </c>
      <c r="H14" s="60" t="n">
        <v>0.103</v>
      </c>
    </row>
    <row r="15">
      <c r="A15" s="13" t="inlineStr">
        <is>
          <t>ALLY</t>
        </is>
      </c>
      <c r="B15" s="68" t="n">
        <v>12</v>
      </c>
      <c r="C15" s="95" t="n">
        <v>9</v>
      </c>
      <c r="D15" s="95" t="n">
        <v>0.9</v>
      </c>
      <c r="E15" s="60" t="n">
        <v>0.1</v>
      </c>
      <c r="F15" s="60" t="n">
        <v>0.034</v>
      </c>
      <c r="G15" s="60" t="n">
        <v>0.5</v>
      </c>
      <c r="H15" s="60" t="n">
        <v>0.095</v>
      </c>
    </row>
    <row r="16"/>
    <row r="17">
      <c r="A17" s="4" t="inlineStr">
        <is>
          <t>NETWORKS (REFERENCE)</t>
        </is>
      </c>
      <c r="B17" s="4" t="n"/>
      <c r="C17" s="4" t="n"/>
      <c r="D17" s="4" t="n"/>
      <c r="E17" s="4" t="n"/>
      <c r="F17" s="4" t="n"/>
      <c r="G17" s="4" t="n"/>
      <c r="H17" s="4" t="n"/>
    </row>
    <row r="18">
      <c r="A18" s="13" t="inlineStr">
        <is>
          <t>V</t>
        </is>
      </c>
      <c r="B18" s="68" t="n">
        <v>570</v>
      </c>
      <c r="C18" s="95" t="n">
        <v>28</v>
      </c>
      <c r="E18" s="60" t="n">
        <v>0.5</v>
      </c>
      <c r="G18" s="60" t="n">
        <v>0.3</v>
      </c>
    </row>
    <row r="19">
      <c r="A19" s="13" t="inlineStr">
        <is>
          <t>MA</t>
        </is>
      </c>
      <c r="B19" s="68" t="n">
        <v>480</v>
      </c>
      <c r="C19" s="95" t="n">
        <v>32</v>
      </c>
      <c r="E19" s="60" t="n">
        <v>0.65</v>
      </c>
      <c r="G19" s="60" t="n">
        <v>0.35</v>
      </c>
    </row>
    <row r="20"/>
    <row r="21"/>
    <row r="22">
      <c r="A22" s="30" t="inlineStr">
        <is>
          <t>Median (banks ex-AXP, ex-networks)</t>
        </is>
      </c>
      <c r="C22" s="97">
        <f>MEDIAN(C12:C15)</f>
        <v/>
      </c>
      <c r="D22" s="97">
        <f>MEDIAN(D12:D15)</f>
        <v/>
      </c>
      <c r="E22" s="96">
        <f>MEDIAN(E12:E15)</f>
        <v/>
      </c>
    </row>
    <row r="23"/>
    <row r="24">
      <c r="A24" s="20" t="inlineStr">
        <is>
          <t>Source: Market data approximate as of May 2026. Verify multiples and capital ratios against Capital IQ / Bloomberg / latest 10-Q before public sharing.</t>
        </is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>
  <sheetPr>
    <tabColor rgb="FF70AD47"/>
    <outlinePr summaryBelow="1" summaryRight="1"/>
    <pageSetUpPr/>
  </sheetPr>
  <dimension ref="A1:F3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0.7109375" customWidth="1" min="1" max="1"/>
    <col width="16.7109375" customWidth="1" min="2" max="3"/>
    <col width="12.7109375" customWidth="1" min="4" max="4"/>
    <col width="60.7109375" customWidth="1" min="5" max="5"/>
  </cols>
  <sheetData>
    <row r="1">
      <c r="A1" s="1" t="inlineStr">
        <is>
          <t>Football Field · Implied DFS Valuation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Methodology</t>
        </is>
      </c>
      <c r="C4" s="11" t="inlineStr">
        <is>
          <t>Low ($/share)</t>
        </is>
      </c>
      <c r="D4" s="11" t="inlineStr">
        <is>
          <t>High ($/share)</t>
        </is>
      </c>
      <c r="E4" s="11" t="inlineStr">
        <is>
          <t>Range</t>
        </is>
      </c>
      <c r="F4" s="11" t="inlineStr">
        <is>
          <t>Footnote</t>
        </is>
      </c>
    </row>
    <row r="5">
      <c r="A5" s="13" t="inlineStr">
        <is>
          <t>52-week trading range (Jan-23 to Feb-24)</t>
        </is>
      </c>
      <c r="B5" s="101" t="n">
        <v>88</v>
      </c>
      <c r="C5" s="101" t="n">
        <v>128</v>
      </c>
      <c r="D5" s="102">
        <f>C5-B5</f>
        <v/>
      </c>
      <c r="E5" s="37" t="inlineStr">
        <is>
          <t>Pre-announce range; floor reflects 2023 reserve build</t>
        </is>
      </c>
    </row>
    <row r="6">
      <c r="A6" s="13" t="inlineStr">
        <is>
          <t>Standalone P/E range (8x-12x × FY24 EPS $17.72)</t>
        </is>
      </c>
      <c r="B6" s="101" t="n">
        <v>141.8</v>
      </c>
      <c r="C6" s="101" t="n">
        <v>212.6</v>
      </c>
      <c r="D6" s="102">
        <f>C6-B6</f>
        <v/>
      </c>
      <c r="E6" s="37" t="inlineStr">
        <is>
          <t>COF FY24 P/E range applied to DFS standalone</t>
        </is>
      </c>
    </row>
    <row r="7">
      <c r="A7" s="13" t="inlineStr">
        <is>
          <t>Standalone P/TBV range (1.3x-2.0x × TBV ~$70)</t>
        </is>
      </c>
      <c r="B7" s="101" t="n">
        <v>91</v>
      </c>
      <c r="C7" s="101" t="n">
        <v>140</v>
      </c>
      <c r="D7" s="102">
        <f>C7-B7</f>
        <v/>
      </c>
      <c r="E7" s="37" t="inlineStr">
        <is>
          <t>Bank trading comps median; DFS TBV/sh Q1 2025</t>
        </is>
      </c>
    </row>
    <row r="8">
      <c r="A8" s="13" t="inlineStr">
        <is>
          <t>Precedent transactions median (P/TBV 1.5x-2.0x)</t>
        </is>
      </c>
      <c r="B8" s="101" t="n">
        <v>105</v>
      </c>
      <c r="C8" s="101" t="n">
        <v>140</v>
      </c>
      <c r="D8" s="102">
        <f>C8-B8</f>
        <v/>
      </c>
      <c r="E8" s="37" t="inlineStr">
        <is>
          <t>BAC/MBNA, BB&amp;T/STI, BMO/BoTW, USB/Union</t>
        </is>
      </c>
    </row>
    <row r="9">
      <c r="A9" s="13" t="inlineStr">
        <is>
          <t>DCF (10% WACC, 2.5% TG)</t>
        </is>
      </c>
      <c r="B9" s="101" t="n">
        <v>115</v>
      </c>
      <c r="C9" s="101" t="n">
        <v>155</v>
      </c>
      <c r="D9" s="102">
        <f>C9-B9</f>
        <v/>
      </c>
      <c r="E9" s="37" t="inlineStr">
        <is>
          <t>Standalone DFS, no synergies</t>
        </is>
      </c>
    </row>
    <row r="10"/>
    <row r="11">
      <c r="A11" s="35" t="inlineStr">
        <is>
          <t>Deal price (announce 19-Feb-2024)</t>
        </is>
      </c>
      <c r="B11" s="85" t="n">
        <v>139.84</v>
      </c>
      <c r="C11" s="85" t="n">
        <v>139.84</v>
      </c>
      <c r="E11" s="58" t="inlineStr">
        <is>
          <t>1.0192 × COF $137.20 implied at announce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>
      <c r="A33" s="20" t="inlineStr">
        <is>
          <t>Source: Author's model; comparable methodologies per standard sell-side practice. P/E and P/TBV ranges anchored to bank trading comps; DCF uses 10% WACC and 2.5% terminal growth on standalone DFS earnings (no synergies attributed to seller).</t>
        </is>
      </c>
    </row>
  </sheetData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4F81BD"/>
    <outlinePr summaryBelow="1" summaryRight="1"/>
    <pageSetUpPr/>
  </sheetPr>
  <dimension ref="A1:E22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42.7109375" customWidth="1" min="1" max="1"/>
    <col width="13.7109375" customWidth="1" min="2" max="5"/>
    <col width="40.7109375" customWidth="1" min="6" max="6"/>
  </cols>
  <sheetData>
    <row r="1">
      <c r="A1" s="1" t="inlineStr">
        <is>
          <t>COF Standalone · Pre-Merger Run-Rate</t>
        </is>
      </c>
    </row>
    <row r="2">
      <c r="A2" s="2" t="inlineStr">
        <is>
          <t>Capital One / Discover · 1-Year Retrospective | $M unless noted</t>
        </is>
      </c>
    </row>
    <row r="3"/>
    <row r="4">
      <c r="B4" s="11" t="inlineStr">
        <is>
          <t>FY2022A</t>
        </is>
      </c>
      <c r="C4" s="11" t="inlineStr">
        <is>
          <t>FY2023A</t>
        </is>
      </c>
      <c r="D4" s="11" t="inlineStr">
        <is>
          <t>FY2024A</t>
        </is>
      </c>
      <c r="E4" s="11" t="inlineStr">
        <is>
          <t>FY2025E (std-alone)</t>
        </is>
      </c>
    </row>
    <row r="5">
      <c r="A5" s="4" t="inlineStr">
        <is>
          <t>Income Statement ($M)</t>
        </is>
      </c>
      <c r="B5" s="4" t="n"/>
      <c r="C5" s="4" t="n"/>
      <c r="D5" s="4" t="n"/>
      <c r="E5" s="4" t="n"/>
    </row>
    <row r="6">
      <c r="A6" s="3" t="inlineStr">
        <is>
          <t>Net interest income</t>
        </is>
      </c>
      <c r="B6" s="61" t="n">
        <v>27970</v>
      </c>
      <c r="C6" s="61" t="n">
        <v>29186</v>
      </c>
      <c r="D6" s="61" t="n">
        <v>31222</v>
      </c>
      <c r="E6" s="61" t="n">
        <v>33000</v>
      </c>
    </row>
    <row r="7">
      <c r="A7" s="3" t="inlineStr">
        <is>
          <t>Non-interest income</t>
        </is>
      </c>
      <c r="B7" s="61" t="n">
        <v>6920</v>
      </c>
      <c r="C7" s="61" t="n">
        <v>7488</v>
      </c>
      <c r="D7" s="61" t="n">
        <v>7900</v>
      </c>
      <c r="E7" s="61" t="n">
        <v>8300</v>
      </c>
    </row>
    <row r="8">
      <c r="A8" s="3" t="inlineStr">
        <is>
          <t>Total net revenue</t>
        </is>
      </c>
      <c r="B8" s="64">
        <f>B6+B7</f>
        <v/>
      </c>
      <c r="C8" s="64">
        <f>C6+C7</f>
        <v/>
      </c>
      <c r="D8" s="64">
        <f>D6+D7</f>
        <v/>
      </c>
      <c r="E8" s="64">
        <f>E6+E7</f>
        <v/>
      </c>
    </row>
    <row r="9">
      <c r="A9" s="3" t="inlineStr">
        <is>
          <t>Provision for credit losses</t>
        </is>
      </c>
      <c r="B9" s="61" t="n">
        <v>5847</v>
      </c>
      <c r="C9" s="61" t="n">
        <v>10426</v>
      </c>
      <c r="D9" s="61" t="n">
        <v>10900</v>
      </c>
      <c r="E9" s="61" t="n">
        <v>9500</v>
      </c>
    </row>
    <row r="10">
      <c r="A10" s="3" t="inlineStr">
        <is>
          <t>Non-interest expense</t>
        </is>
      </c>
      <c r="B10" s="61" t="n">
        <v>19727</v>
      </c>
      <c r="C10" s="61" t="n">
        <v>20316</v>
      </c>
      <c r="D10" s="61" t="n">
        <v>22100</v>
      </c>
      <c r="E10" s="61" t="n">
        <v>23300</v>
      </c>
    </row>
    <row r="11">
      <c r="A11" s="3" t="inlineStr">
        <is>
          <t>Pre-tax income</t>
        </is>
      </c>
      <c r="B11" s="64">
        <f>B8-B9-B10</f>
        <v/>
      </c>
      <c r="C11" s="64">
        <f>C8-C9-C10</f>
        <v/>
      </c>
      <c r="D11" s="64">
        <f>D8-D9-D10</f>
        <v/>
      </c>
      <c r="E11" s="64">
        <f>E8-E9-E10</f>
        <v/>
      </c>
    </row>
    <row r="12">
      <c r="A12" s="3" t="inlineStr">
        <is>
          <t>Tax</t>
        </is>
      </c>
      <c r="B12" s="66">
        <f>B11*Cover!$B$40</f>
        <v/>
      </c>
      <c r="C12" s="66">
        <f>C11*Cover!$B$40</f>
        <v/>
      </c>
      <c r="D12" s="66">
        <f>D11*Cover!$B$40</f>
        <v/>
      </c>
      <c r="E12" s="66">
        <f>E11*Cover!$B$40</f>
        <v/>
      </c>
    </row>
    <row r="13">
      <c r="A13" s="3" t="inlineStr">
        <is>
          <t>Net income</t>
        </is>
      </c>
      <c r="B13" s="64">
        <f>B11-B12</f>
        <v/>
      </c>
      <c r="C13" s="64">
        <f>C11-C12</f>
        <v/>
      </c>
      <c r="D13" s="64">
        <f>D11-D12</f>
        <v/>
      </c>
      <c r="E13" s="64">
        <f>E11-E12</f>
        <v/>
      </c>
    </row>
    <row r="14">
      <c r="A14" s="3" t="inlineStr">
        <is>
          <t>Diluted EPS ($)</t>
        </is>
      </c>
      <c r="B14" s="59" t="n">
        <v>17.91</v>
      </c>
      <c r="C14" s="59" t="n">
        <v>11.95</v>
      </c>
      <c r="D14" s="59" t="n">
        <v>11.59</v>
      </c>
      <c r="E14" s="59" t="n">
        <v>13.5</v>
      </c>
    </row>
    <row r="15">
      <c r="A15" s="3" t="inlineStr">
        <is>
          <t>Diluted shares (M)</t>
        </is>
      </c>
      <c r="B15" s="61" t="n">
        <v>395</v>
      </c>
      <c r="C15" s="61" t="n">
        <v>384</v>
      </c>
      <c r="D15" s="61" t="n">
        <v>414</v>
      </c>
      <c r="E15" s="61" t="n">
        <v>410</v>
      </c>
    </row>
    <row r="16"/>
    <row r="17">
      <c r="A17" s="4" t="inlineStr">
        <is>
          <t>Key Ratios</t>
        </is>
      </c>
      <c r="B17" s="4" t="n"/>
      <c r="C17" s="4" t="n"/>
      <c r="D17" s="4" t="n"/>
      <c r="E17" s="4" t="n"/>
    </row>
    <row r="18">
      <c r="A18" s="3" t="inlineStr">
        <is>
          <t>Total assets ($B)</t>
        </is>
      </c>
      <c r="B18" s="59" t="n">
        <v>455.2</v>
      </c>
      <c r="C18" s="59" t="n">
        <v>478.5</v>
      </c>
      <c r="D18" s="59" t="n">
        <v>490.1</v>
      </c>
      <c r="E18" s="61" t="n">
        <v>505</v>
      </c>
    </row>
    <row r="19">
      <c r="A19" s="3" t="inlineStr">
        <is>
          <t>Total deposits ($B)</t>
        </is>
      </c>
      <c r="B19" s="59" t="n">
        <v>332.5</v>
      </c>
      <c r="C19" s="59" t="n">
        <v>348.4</v>
      </c>
      <c r="D19" s="59" t="n">
        <v>362.7</v>
      </c>
      <c r="E19" s="61" t="n">
        <v>372</v>
      </c>
    </row>
    <row r="20">
      <c r="A20" s="3" t="inlineStr">
        <is>
          <t>CET1 ratio</t>
        </is>
      </c>
      <c r="B20" s="60" t="n">
        <v>0.125</v>
      </c>
      <c r="C20" s="60" t="n">
        <v>0.13</v>
      </c>
      <c r="D20" s="60" t="n">
        <v>0.135</v>
      </c>
      <c r="E20" s="60" t="n">
        <v>0.138</v>
      </c>
    </row>
    <row r="21">
      <c r="A21" s="3" t="inlineStr">
        <is>
          <t>Net interest margin</t>
        </is>
      </c>
      <c r="B21" s="60" t="n">
        <v>0.066</v>
      </c>
      <c r="C21" s="60" t="n">
        <v>0.068</v>
      </c>
      <c r="D21" s="60" t="n">
        <v>0.07000000000000001</v>
      </c>
      <c r="E21" s="60" t="n">
        <v>0.07099999999999999</v>
      </c>
    </row>
    <row r="22">
      <c r="A22" s="3" t="inlineStr">
        <is>
          <t>Net charge-off rate</t>
        </is>
      </c>
      <c r="B22" s="60" t="n">
        <v>0.02</v>
      </c>
      <c r="C22" s="60" t="n">
        <v>0.04</v>
      </c>
      <c r="D22" s="60" t="n">
        <v>0.043</v>
      </c>
      <c r="E22" s="60" t="n">
        <v>0.04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tabColor rgb="FFA6A6A6"/>
    <outlinePr summaryBelow="1" summaryRight="1"/>
    <pageSetUpPr/>
  </sheetPr>
  <dimension ref="A1:E53"/>
  <sheetViews>
    <sheetView showGridLines="0" workbookViewId="0">
      <selection activeCell="A1" sqref="A1"/>
    </sheetView>
  </sheetViews>
  <sheetFormatPr baseColWidth="8" defaultRowHeight="15"/>
  <cols>
    <col width="44.7109375" customWidth="1" min="1" max="1"/>
    <col width="30.7109375" customWidth="1" min="2" max="2"/>
    <col width="80.7109375" customWidth="1" min="3" max="3"/>
  </cols>
  <sheetData>
    <row r="1">
      <c r="A1" s="1" t="inlineStr">
        <is>
          <t>Methodology &amp; Sources</t>
        </is>
      </c>
    </row>
    <row r="2">
      <c r="A2" s="2" t="inlineStr">
        <is>
          <t>Capital One / Discover · 1-Year Retrospective | $M unless noted</t>
        </is>
      </c>
    </row>
    <row r="3">
      <c r="A3" s="3" t="inlineStr">
        <is>
          <t>Verified against COF Q2 2025 10-Q + earnings transcripts (May 2026)</t>
        </is>
      </c>
    </row>
    <row r="4">
      <c r="A4" s="3" t="inlineStr">
        <is>
          <t>Item</t>
        </is>
      </c>
      <c r="B4" s="3" t="inlineStr">
        <is>
          <t>Value used</t>
        </is>
      </c>
      <c r="C4" s="3" t="inlineStr">
        <is>
          <t>Source / note</t>
        </is>
      </c>
    </row>
    <row r="5">
      <c r="A5" s="3" t="inlineStr">
        <is>
          <t>Tax rate</t>
        </is>
      </c>
      <c r="B5" s="3" t="inlineStr">
        <is>
          <t>21% federal statutory</t>
        </is>
      </c>
      <c r="C5" s="3" t="inlineStr">
        <is>
          <t>Federal corporate rate. COF effective rate ~23%; statutory used for simplicity.</t>
        </is>
      </c>
    </row>
    <row r="6">
      <c r="A6" s="3" t="inlineStr">
        <is>
          <t>COF FY2022-24 historical NI</t>
        </is>
      </c>
      <c r="B6" s="3" t="inlineStr">
        <is>
          <t>From COF 10-Ks</t>
        </is>
      </c>
      <c r="C6" s="3" t="inlineStr">
        <is>
          <t>Filed annually with SEC. Net income tied to reported figures; provision and NIE backed into reported NI given net revenue + tax.</t>
        </is>
      </c>
    </row>
    <row r="7">
      <c r="A7" s="3" t="inlineStr">
        <is>
          <t>DFS FY2022-24 historical NI</t>
        </is>
      </c>
      <c r="B7" s="3" t="inlineStr">
        <is>
          <t>From DFS 10-Ks</t>
        </is>
      </c>
      <c r="C7" s="3" t="inlineStr">
        <is>
          <t>Same approach. DFS FY2024 NI of $4.54B tied to reported $17.72 EPS × 256M shares.</t>
        </is>
      </c>
    </row>
    <row r="8">
      <c r="A8" s="3" t="inlineStr">
        <is>
          <t>COF NI projection 2025-2028</t>
        </is>
      </c>
      <c r="B8" s="3" t="inlineStr">
        <is>
          <t>$7.0B / $7.7B / $8.1B / $8.5B</t>
        </is>
      </c>
      <c r="C8" s="3" t="inlineStr">
        <is>
          <t>Anchored to consensus equity research range. Implies credit normalization from FY2024 trough.</t>
        </is>
      </c>
    </row>
    <row r="9">
      <c r="A9" s="3" t="inlineStr">
        <is>
          <t>DFS NI run-rate</t>
        </is>
      </c>
      <c r="B9" s="3" t="inlineStr">
        <is>
          <t>$4.8B / $4.9B / $5.0B / $5.1B</t>
        </is>
      </c>
      <c r="C9" s="3" t="inlineStr">
        <is>
          <t>DFS continuing-ops earnings power, modest growth. Used as the DFS contribution into the combined entity (DFS is consolidated into COF post-close).</t>
        </is>
      </c>
    </row>
    <row r="10">
      <c r="A10" s="3" t="inlineStr">
        <is>
          <t>Synergy run-rate (Mgmt case)</t>
        </is>
      </c>
      <c r="B10" s="3" t="inlineStr">
        <is>
          <t>$1.5B exp + $1.2B net = $2.7B</t>
        </is>
      </c>
      <c r="C10" s="3" t="inlineStr">
        <is>
          <t>Per Feb-19-2024 joint investor presentation.</t>
        </is>
      </c>
    </row>
    <row r="11">
      <c r="A11" s="3" t="inlineStr">
        <is>
          <t>Synergy run-rate (Base case)</t>
        </is>
      </c>
      <c r="B11" s="3" t="inlineStr">
        <is>
          <t>$1.4B + $1.1B = $2.5B</t>
        </is>
      </c>
      <c r="C11" s="3" t="inlineStr">
        <is>
          <t>COF Q3/Q4 2025 earnings calls · Fairbank framed as revised target, no new timeline.</t>
        </is>
      </c>
    </row>
    <row r="12">
      <c r="A12" s="3" t="inlineStr">
        <is>
          <t>Synergy run-rate (Haircut case, mine)</t>
        </is>
      </c>
      <c r="B12" s="3" t="inlineStr">
        <is>
          <t>$1.1B + $0.8B = $1.9B</t>
        </is>
      </c>
      <c r="C12" s="3" t="inlineStr">
        <is>
          <t>My estimate. Reflects: (a) regulatory remediation displaces synergy realization, (b) network buildout capex offsets revenue uplift years 1-3, (c) integration drag timing.</t>
        </is>
      </c>
    </row>
    <row r="13">
      <c r="A13" s="3" t="inlineStr">
        <is>
          <t>Synergy phase-in by 2027</t>
        </is>
      </c>
      <c r="B13" s="3" t="inlineStr">
        <is>
          <t>Mgmt 100% / Base 85% / Haircut 65%</t>
        </is>
      </c>
      <c r="C13" s="3" t="inlineStr">
        <is>
          <t>Mgmt's announce-day case assumed full realization by 2027. Base case slips by one year. Haircut case slips by two years.</t>
        </is>
      </c>
    </row>
    <row r="14">
      <c r="A14" s="3" t="inlineStr">
        <is>
          <t>Integration cost (announce)</t>
        </is>
      </c>
      <c r="B14" s="3" t="inlineStr">
        <is>
          <t>$2.8B</t>
        </is>
      </c>
      <c r="C14" s="3" t="inlineStr">
        <is>
          <t>Per Feb-19-2024 joint deck.</t>
        </is>
      </c>
    </row>
    <row r="15">
      <c r="A15" s="3" t="inlineStr">
        <is>
          <t>Integration cost (revised)</t>
        </is>
      </c>
      <c r="B15" s="3" t="inlineStr">
        <is>
          <t>$3.5B</t>
        </is>
      </c>
      <c r="C15" s="3" t="inlineStr">
        <is>
          <t>Fairbank Q2 2025: 'somewhat higher than $2.8B'. I use $3.5B in Base and Haircut cases as a reasonable point estimate of 'somewhat higher'.</t>
        </is>
      </c>
    </row>
    <row r="16">
      <c r="A16" s="3" t="inlineStr">
        <is>
          <t>Integration cost phase</t>
        </is>
      </c>
      <c r="B16" s="3" t="inlineStr">
        <is>
          <t>40% / 40% / 20% / 0%</t>
        </is>
      </c>
      <c r="C16" s="3" t="inlineStr">
        <is>
          <t>Front-loaded in 2025-2026 (year of close + first full year of integration), tapering in 2027 as remediation milestones hit, zero in 2028.</t>
        </is>
      </c>
    </row>
    <row r="17">
      <c r="A17" s="3" t="inlineStr">
        <is>
          <t>COF diluted shares (standalone)</t>
        </is>
      </c>
      <c r="B17" s="3" t="inlineStr">
        <is>
          <t>410M</t>
        </is>
      </c>
      <c r="C17" s="3" t="inlineStr">
        <is>
          <t>From COF FY2024 10-K. Held flat in standalone scenario.</t>
        </is>
      </c>
    </row>
    <row r="18">
      <c r="A18" s="3" t="inlineStr">
        <is>
          <t>Shares issued to DFS (consideration)</t>
        </is>
      </c>
      <c r="B18" s="3" t="inlineStr">
        <is>
          <t>252.8M</t>
        </is>
      </c>
      <c r="C18" s="3" t="inlineStr">
        <is>
          <t>DFS shares outstanding at announce (~248M) × 1.0192 exchange ratio.</t>
        </is>
      </c>
    </row>
    <row r="19">
      <c r="A19" s="3" t="inlineStr">
        <is>
          <t>DFS net debt rolled</t>
        </is>
      </c>
      <c r="B19" s="3" t="inlineStr">
        <is>
          <t>$9,500M (estimate)</t>
        </is>
      </c>
      <c r="C19" s="3" t="inlineStr">
        <is>
          <t>Approximation; actual rolled-debt allocation in PPA not separately disclosed.</t>
        </is>
      </c>
    </row>
    <row r="20">
      <c r="A20" s="3" t="inlineStr">
        <is>
          <t>Transaction fees</t>
        </is>
      </c>
      <c r="B20" s="3" t="inlineStr">
        <is>
          <t>$250M</t>
        </is>
      </c>
      <c r="C20" s="3" t="inlineStr">
        <is>
          <t>~0.7% of deal value. Standard advisor + financing fee load for a deal this size.</t>
        </is>
      </c>
    </row>
    <row r="21">
      <c r="A21" s="3" t="inlineStr">
        <is>
          <t>DFS book equity at close</t>
        </is>
      </c>
      <c r="B21" s="3" t="inlineStr">
        <is>
          <t>$17,900M (Q1 2025 reported)</t>
        </is>
      </c>
      <c r="C21" s="3" t="inlineStr">
        <is>
          <t>DFS Q1 2025 10-Q stockholders' equity. Was estimate; now verified.</t>
        </is>
      </c>
    </row>
    <row r="22">
      <c r="A22" s="3" t="inlineStr">
        <is>
          <t>Fair-value step-ups (intangibles)</t>
        </is>
      </c>
      <c r="B22" s="3" t="inlineStr">
        <is>
          <t>$13,400M (per COF Q2 2025 10-Q)</t>
        </is>
      </c>
      <c r="C22" s="3" t="inlineStr">
        <is>
          <t>Card relationships $10.3B + network $3.1B. PPA-recognized intangibles. Was $4.5B estimate; now verified.</t>
        </is>
      </c>
    </row>
    <row r="23">
      <c r="A23" s="3" t="inlineStr">
        <is>
          <t>Goodwill</t>
        </is>
      </c>
      <c r="B23" s="3" t="inlineStr">
        <is>
          <t>$13,200M (per COF Q2 2025 10-Q)</t>
        </is>
      </c>
      <c r="C23" s="3" t="inlineStr">
        <is>
          <t>Calculated = $35.3B - $17.9B - (-$9.0B loan markdown) - $13.4B intangibles ≈ $13.2B.</t>
        </is>
      </c>
    </row>
    <row r="24">
      <c r="A24" s="3" t="inlineStr">
        <is>
          <t>Pro forma RWA</t>
        </is>
      </c>
      <c r="B24" s="3" t="inlineStr">
        <is>
          <t>Reported pro forma CET1 ratio 14.0% Q2 2025</t>
        </is>
      </c>
      <c r="C24" s="3" t="inlineStr">
        <is>
          <t>Override the calculation; actual ratio EXPANDED from 13.6% standalone to 14.0% pro forma.</t>
        </is>
      </c>
    </row>
    <row r="25"/>
    <row r="26"/>
    <row r="27">
      <c r="A27" s="4" t="inlineStr">
        <is>
          <t>PRIMARY SOURCES</t>
        </is>
      </c>
      <c r="B27" s="4" t="n"/>
      <c r="C27" s="4" t="n"/>
      <c r="D27" s="4" t="n"/>
      <c r="E27" s="4" t="n"/>
    </row>
    <row r="28">
      <c r="A28" s="3" t="inlineStr">
        <is>
          <t>COF S-4 (filed Mar-2024) · fairness opinions, deal mechanics, exchange ratio</t>
        </is>
      </c>
    </row>
    <row r="29">
      <c r="A29" s="3" t="inlineStr">
        <is>
          <t>Joint COF/DFS DEFM14A · full deal terms</t>
        </is>
      </c>
    </row>
    <row r="30">
      <c r="A30" s="3" t="inlineStr">
        <is>
          <t>COF Form 10-K FY2024 (filed Feb-2025)</t>
        </is>
      </c>
    </row>
    <row r="31">
      <c r="A31" s="3" t="inlineStr">
        <is>
          <t>DFS Form 10-K FY2024 (filed Feb-2025) + final Form 10-Q through close</t>
        </is>
      </c>
    </row>
    <row r="32">
      <c r="A32" s="3" t="inlineStr">
        <is>
          <t>COF Q2 2025 earnings transcript (Aug-2025) · first consolidation quarter, $4.3B GAAP loss</t>
        </is>
      </c>
    </row>
    <row r="33">
      <c r="A33" s="3" t="inlineStr">
        <is>
          <t>COF Q3 2025 earnings transcript (Oct-2025) · Fairbank's revised $2.5B synergy target</t>
        </is>
      </c>
    </row>
    <row r="34">
      <c r="A34" s="3" t="inlineStr">
        <is>
          <t>COF Q4 2025 + Q1 2026 transcripts · integration cost progress, network migration disclosure</t>
        </is>
      </c>
    </row>
    <row r="35">
      <c r="A35" s="3" t="inlineStr">
        <is>
          <t>Federal Reserve approval order (18-Apr-2025)</t>
        </is>
      </c>
    </row>
    <row r="36">
      <c r="A36" s="3" t="inlineStr">
        <is>
          <t>OCC conditional approval order (18-Apr-2025)</t>
        </is>
      </c>
    </row>
    <row r="37">
      <c r="A37" s="3" t="inlineStr">
        <is>
          <t>Discover merchant class-action settlement docs (court approval Jul-30-2025) · $1.225B restitution</t>
        </is>
      </c>
    </row>
    <row r="38">
      <c r="A38" s="3" t="inlineStr">
        <is>
          <t>Banking Dive, Payments Dive integration coverage</t>
        </is>
      </c>
    </row>
    <row r="40">
      <c r="A40" s="103" t="inlineStr">
        <is>
          <t>Modeling conventions</t>
        </is>
      </c>
    </row>
    <row r="41">
      <c r="A41" s="104" t="inlineStr">
        <is>
          <t>Font: Arial 10pt body; 14pt bold titles; 8pt italic footnotes.</t>
        </is>
      </c>
    </row>
    <row r="42">
      <c r="A42" s="104" t="inlineStr">
        <is>
          <t>Gridlines off on every sheet.</t>
        </is>
      </c>
    </row>
    <row r="43">
      <c r="A43" s="104" t="inlineStr">
        <is>
          <t>Cell color convention: blue text = hardcoded input; black = formula computed in-sheet;</t>
        </is>
      </c>
    </row>
    <row r="44">
      <c r="A44" s="104" t="inlineStr">
        <is>
          <t xml:space="preserve">  green = cross-sheet reference; red = CHOOSE/OFFSET dynamic input pull.</t>
        </is>
      </c>
    </row>
    <row r="45">
      <c r="A45" s="104" t="inlineStr">
        <is>
          <t>Negatives in parentheses, never with leading minus sign.</t>
        </is>
      </c>
    </row>
    <row r="46">
      <c r="A46" s="104" t="inlineStr">
        <is>
          <t>Multiples shown with trailing "x". Exchange ratio to 3 decimal places.</t>
        </is>
      </c>
    </row>
    <row r="47">
      <c r="A47" s="104" t="inlineStr">
        <is>
          <t>Dates m/d/yyyy. Per-share figures 2 decimal places. Share counts in millions.</t>
        </is>
      </c>
    </row>
    <row r="48">
      <c r="A48" s="104" t="inlineStr">
        <is>
          <t>Named cells defined on Cover: Case, TaxRate, OfferValue, Premium, ExchangeRatio,</t>
        </is>
      </c>
    </row>
    <row r="49">
      <c r="A49" s="104" t="inlineStr">
        <is>
          <t xml:space="preserve">  SynergiesActive, UnaffectedPrice.</t>
        </is>
      </c>
    </row>
    <row r="50">
      <c r="A50" s="104" t="inlineStr">
        <is>
          <t>Case toggle (Cover!B19): 1 = Management, 2 = Base, 3 = Haircut.</t>
        </is>
      </c>
    </row>
    <row r="51">
      <c r="A51" s="104" t="inlineStr"/>
    </row>
    <row r="52">
      <c r="A52" s="105" t="inlineStr">
        <is>
          <t>Source: standard practice per Marquee Group / Training The Street, Columbia</t>
        </is>
      </c>
    </row>
    <row r="53">
      <c r="A53" s="104" t="inlineStr">
        <is>
          <t>Merger Model template v24.0 and M&amp;A Homework Guide.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tabColor rgb="FF4F81BD"/>
    <outlinePr summaryBelow="1" summaryRight="1"/>
    <pageSetUpPr/>
  </sheetPr>
  <dimension ref="A1:E21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42.7109375" customWidth="1" min="1" max="1"/>
    <col width="13.7109375" customWidth="1" min="2" max="5"/>
    <col width="40.7109375" customWidth="1" min="6" max="6"/>
  </cols>
  <sheetData>
    <row r="1">
      <c r="A1" s="1" t="inlineStr">
        <is>
          <t>DFS Standalone · Through Close (May-2025)</t>
        </is>
      </c>
    </row>
    <row r="2">
      <c r="A2" s="2" t="inlineStr">
        <is>
          <t>Capital One / Discover · 1-Year Retrospective | $M unless noted</t>
        </is>
      </c>
    </row>
    <row r="3"/>
    <row r="4">
      <c r="B4" s="11" t="inlineStr">
        <is>
          <t>FY2022A</t>
        </is>
      </c>
      <c r="C4" s="11" t="inlineStr">
        <is>
          <t>FY2023A</t>
        </is>
      </c>
      <c r="D4" s="11" t="inlineStr">
        <is>
          <t>FY2024A</t>
        </is>
      </c>
      <c r="E4" s="11" t="inlineStr">
        <is>
          <t>Q1 2025A (stub)</t>
        </is>
      </c>
    </row>
    <row r="5">
      <c r="A5" s="4" t="inlineStr">
        <is>
          <t>Income Statement ($M)</t>
        </is>
      </c>
      <c r="B5" s="4" t="n"/>
      <c r="C5" s="4" t="n"/>
      <c r="D5" s="4" t="n"/>
      <c r="E5" s="4" t="n"/>
    </row>
    <row r="6">
      <c r="A6" s="3" t="inlineStr">
        <is>
          <t>Net interest income</t>
        </is>
      </c>
      <c r="B6" s="61" t="n">
        <v>11503</v>
      </c>
      <c r="C6" s="61" t="n">
        <v>13066</v>
      </c>
      <c r="D6" s="61" t="n">
        <v>14400</v>
      </c>
      <c r="E6" s="61" t="n">
        <v>3700</v>
      </c>
    </row>
    <row r="7">
      <c r="A7" s="3" t="inlineStr">
        <is>
          <t>Non-interest income</t>
        </is>
      </c>
      <c r="B7" s="61" t="n">
        <v>3197</v>
      </c>
      <c r="C7" s="61" t="n">
        <v>2796</v>
      </c>
      <c r="D7" s="61" t="n">
        <v>3510</v>
      </c>
      <c r="E7" s="61" t="n">
        <v>900</v>
      </c>
    </row>
    <row r="8">
      <c r="A8" s="3" t="inlineStr">
        <is>
          <t>Total net revenue</t>
        </is>
      </c>
      <c r="B8" s="64">
        <f>B6+B7</f>
        <v/>
      </c>
      <c r="C8" s="64">
        <f>C6+C7</f>
        <v/>
      </c>
      <c r="D8" s="64">
        <f>D6+D7</f>
        <v/>
      </c>
      <c r="E8" s="64">
        <f>E6+E7</f>
        <v/>
      </c>
    </row>
    <row r="9">
      <c r="A9" s="3" t="inlineStr">
        <is>
          <t>Provision for credit losses</t>
        </is>
      </c>
      <c r="B9" s="61" t="n">
        <v>1834</v>
      </c>
      <c r="C9" s="61" t="n">
        <v>6018</v>
      </c>
      <c r="D9" s="61" t="n">
        <v>5600</v>
      </c>
      <c r="E9" s="61" t="n">
        <v>1200</v>
      </c>
    </row>
    <row r="10">
      <c r="A10" s="3" t="inlineStr">
        <is>
          <t>Non-interest expense</t>
        </is>
      </c>
      <c r="B10" s="61" t="n">
        <v>5223</v>
      </c>
      <c r="C10" s="61" t="n">
        <v>6075</v>
      </c>
      <c r="D10" s="61" t="n">
        <v>6544</v>
      </c>
      <c r="E10" s="61" t="n">
        <v>1700</v>
      </c>
    </row>
    <row r="11">
      <c r="A11" s="3" t="inlineStr">
        <is>
          <t>Pre-tax income</t>
        </is>
      </c>
      <c r="B11" s="64">
        <f>B8-B9-B10</f>
        <v/>
      </c>
      <c r="C11" s="64">
        <f>C8-C9-C10</f>
        <v/>
      </c>
      <c r="D11" s="64">
        <f>D8-D9-D10</f>
        <v/>
      </c>
      <c r="E11" s="64">
        <f>E8-E9-E10</f>
        <v/>
      </c>
    </row>
    <row r="12">
      <c r="A12" s="3" t="inlineStr">
        <is>
          <t>Tax</t>
        </is>
      </c>
      <c r="B12" s="66">
        <f>B11*Cover!$B$40</f>
        <v/>
      </c>
      <c r="C12" s="66">
        <f>C11*Cover!$B$40</f>
        <v/>
      </c>
      <c r="D12" s="66">
        <f>D11*Cover!$B$40</f>
        <v/>
      </c>
      <c r="E12" s="66">
        <f>E11*Cover!$B$40</f>
        <v/>
      </c>
    </row>
    <row r="13">
      <c r="A13" s="3" t="inlineStr">
        <is>
          <t>Net income</t>
        </is>
      </c>
      <c r="B13" s="64">
        <f>B11-B12</f>
        <v/>
      </c>
      <c r="C13" s="64">
        <f>C11-C12</f>
        <v/>
      </c>
      <c r="D13" s="64">
        <f>D11-D12</f>
        <v/>
      </c>
      <c r="E13" s="64">
        <f>E11-E12</f>
        <v/>
      </c>
    </row>
    <row r="14">
      <c r="A14" s="3" t="inlineStr">
        <is>
          <t>Diluted EPS ($)</t>
        </is>
      </c>
      <c r="B14" s="59" t="n">
        <v>16.09</v>
      </c>
      <c r="C14" s="59" t="n">
        <v>11.26</v>
      </c>
      <c r="D14" s="59" t="n">
        <v>17.72</v>
      </c>
      <c r="E14" s="59" t="n">
        <v>4.25</v>
      </c>
    </row>
    <row r="15">
      <c r="A15" s="3" t="inlineStr">
        <is>
          <t>Diluted shares (M)</t>
        </is>
      </c>
      <c r="B15" s="61" t="n">
        <v>266</v>
      </c>
      <c r="C15" s="61" t="n">
        <v>254</v>
      </c>
      <c r="D15" s="61" t="n">
        <v>256</v>
      </c>
      <c r="E15" s="61" t="n">
        <v>252</v>
      </c>
    </row>
    <row r="16"/>
    <row r="17">
      <c r="A17" s="4" t="inlineStr">
        <is>
          <t>DFS Regulatory Overhang at Close (Cost Items COF Inherited)</t>
        </is>
      </c>
      <c r="B17" s="4" t="n"/>
      <c r="C17" s="4" t="n"/>
      <c r="D17" s="4" t="n"/>
      <c r="E17" s="4" t="n"/>
    </row>
    <row r="18">
      <c r="A18" s="3" t="inlineStr">
        <is>
          <t>Fed civil money penalty (interchange)</t>
        </is>
      </c>
      <c r="B18" s="61" t="n">
        <v>100</v>
      </c>
      <c r="C18" s="3" t="inlineStr">
        <is>
          <t>Apr 2025</t>
        </is>
      </c>
    </row>
    <row r="19">
      <c r="A19" s="3" t="inlineStr">
        <is>
          <t>FDIC civil penalty</t>
        </is>
      </c>
      <c r="B19" s="61" t="n">
        <v>150</v>
      </c>
      <c r="C19" s="3" t="inlineStr">
        <is>
          <t>Apr 2025</t>
        </is>
      </c>
    </row>
    <row r="20">
      <c r="A20" s="3" t="inlineStr">
        <is>
          <t>Card-misclass merchant restitution (settlement)</t>
        </is>
      </c>
      <c r="B20" s="61" t="n">
        <v>1225</v>
      </c>
      <c r="C20" s="3" t="inlineStr">
        <is>
          <t>Prelim. approval Jul-30-2025</t>
        </is>
      </c>
    </row>
    <row r="21">
      <c r="A21" s="3" t="inlineStr">
        <is>
          <t>Total inherited liabilities</t>
        </is>
      </c>
      <c r="B21" s="64">
        <f>SUM(B18:B20)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tabColor rgb="FF4F81BD"/>
    <outlinePr summaryBelow="1" summaryRight="1"/>
    <pageSetUpPr/>
  </sheetPr>
  <dimension ref="A1:E21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48.7109375" customWidth="1" min="1" max="1"/>
    <col width="13.7109375" customWidth="1" min="2" max="5"/>
  </cols>
  <sheetData>
    <row r="1">
      <c r="A1" s="1" t="inlineStr">
        <is>
          <t>Combined Pro Forma + Synergy Build</t>
        </is>
      </c>
    </row>
    <row r="2">
      <c r="A2" s="2" t="inlineStr">
        <is>
          <t>Capital One / Discover · 1-Year Retrospective | $M unless noted</t>
        </is>
      </c>
    </row>
    <row r="3"/>
    <row r="4">
      <c r="B4" s="11" t="inlineStr">
        <is>
          <t>2025E</t>
        </is>
      </c>
      <c r="C4" s="11" t="inlineStr">
        <is>
          <t>2026E</t>
        </is>
      </c>
      <c r="D4" s="11" t="inlineStr">
        <is>
          <t>2027E</t>
        </is>
      </c>
      <c r="E4" s="11" t="inlineStr">
        <is>
          <t>2028E</t>
        </is>
      </c>
    </row>
    <row r="5">
      <c r="A5" s="3" t="inlineStr">
        <is>
          <t>Standalone Combined NI ($M) · direct projections (consensus-anchored)</t>
        </is>
      </c>
    </row>
    <row r="6">
      <c r="A6" s="3" t="inlineStr">
        <is>
          <t>COF NI standalone (consensus est.)</t>
        </is>
      </c>
      <c r="B6" s="61" t="n">
        <v>7000</v>
      </c>
      <c r="C6" s="61" t="n">
        <v>7700</v>
      </c>
      <c r="D6" s="61" t="n">
        <v>8100</v>
      </c>
      <c r="E6" s="61" t="n">
        <v>8500</v>
      </c>
    </row>
    <row r="7">
      <c r="A7" s="3" t="inlineStr">
        <is>
          <t>DFS NI run-rate (continuing operations)</t>
        </is>
      </c>
      <c r="B7" s="61" t="n">
        <v>4800</v>
      </c>
      <c r="C7" s="61" t="n">
        <v>4900</v>
      </c>
      <c r="D7" s="61" t="n">
        <v>5000</v>
      </c>
      <c r="E7" s="61" t="n">
        <v>5100</v>
      </c>
    </row>
    <row r="8">
      <c r="A8" s="3" t="inlineStr">
        <is>
          <t>Combined standalone NI</t>
        </is>
      </c>
      <c r="B8" s="64">
        <f>B6+B7</f>
        <v/>
      </c>
      <c r="C8" s="64">
        <f>C6+C7</f>
        <v/>
      </c>
      <c r="D8" s="64">
        <f>D6+D7</f>
        <v/>
      </c>
      <c r="E8" s="64">
        <f>E6+E7</f>
        <v/>
      </c>
    </row>
    <row r="9"/>
    <row r="10">
      <c r="A10" s="3" t="inlineStr">
        <is>
          <t>Synergy Realization ($M, after-tax)</t>
        </is>
      </c>
    </row>
    <row r="11">
      <c r="A11" s="3" t="inlineStr">
        <is>
          <t>Run-rate synergy (active case)</t>
        </is>
      </c>
      <c r="B11" s="66">
        <f>Cover!$B$30</f>
        <v/>
      </c>
      <c r="C11" s="66">
        <f>Cover!$B$30</f>
        <v/>
      </c>
      <c r="D11" s="66">
        <f>Cover!$B$30</f>
        <v/>
      </c>
      <c r="E11" s="66">
        <f>Cover!$B$30</f>
        <v/>
      </c>
    </row>
    <row r="12">
      <c r="A12" s="3" t="inlineStr">
        <is>
          <t>Phase-in %</t>
        </is>
      </c>
      <c r="B12" s="66">
        <f>Cover!B37</f>
        <v/>
      </c>
      <c r="C12" s="66">
        <f>Cover!C37</f>
        <v/>
      </c>
      <c r="D12" s="66">
        <f>Cover!D37</f>
        <v/>
      </c>
      <c r="E12" s="66">
        <f>Cover!E37</f>
        <v/>
      </c>
    </row>
    <row r="13">
      <c r="A13" s="3" t="inlineStr">
        <is>
          <t>Realized pre-tax synergy</t>
        </is>
      </c>
      <c r="B13" s="64">
        <f>B11*B12</f>
        <v/>
      </c>
      <c r="C13" s="64">
        <f>C11*C12</f>
        <v/>
      </c>
      <c r="D13" s="64">
        <f>D11*D12</f>
        <v/>
      </c>
      <c r="E13" s="64">
        <f>E11*E12</f>
        <v/>
      </c>
    </row>
    <row r="14">
      <c r="A14" s="3" t="inlineStr">
        <is>
          <t>After-tax synergy</t>
        </is>
      </c>
      <c r="B14" s="66">
        <f>B13*(1-Cover!$B$40)</f>
        <v/>
      </c>
      <c r="C14" s="66">
        <f>C13*(1-Cover!$B$40)</f>
        <v/>
      </c>
      <c r="D14" s="66">
        <f>D13*(1-Cover!$B$40)</f>
        <v/>
      </c>
      <c r="E14" s="66">
        <f>E13*(1-Cover!$B$40)</f>
        <v/>
      </c>
    </row>
    <row r="15"/>
    <row r="16">
      <c r="A16" s="3" t="inlineStr">
        <is>
          <t>Integration costs (after-tax, one-time)</t>
        </is>
      </c>
    </row>
    <row r="17">
      <c r="A17" s="3" t="inlineStr">
        <is>
          <t>Integration cost spend</t>
        </is>
      </c>
      <c r="B17" s="66">
        <f>Cover!$B$42*0.4</f>
        <v/>
      </c>
      <c r="C17" s="66">
        <f>Cover!$B$42*0.4</f>
        <v/>
      </c>
      <c r="D17" s="66">
        <f>Cover!$B$42*0.2</f>
        <v/>
      </c>
      <c r="E17" s="61" t="n">
        <v>0</v>
      </c>
    </row>
    <row r="18">
      <c r="A18" s="3" t="inlineStr">
        <is>
          <t>After-tax integration cost</t>
        </is>
      </c>
      <c r="B18" s="66">
        <f>B17*(1-Cover!$B$40)</f>
        <v/>
      </c>
      <c r="C18" s="66">
        <f>C17*(1-Cover!$B$40)</f>
        <v/>
      </c>
      <c r="D18" s="66">
        <f>D17*(1-Cover!$B$40)</f>
        <v/>
      </c>
      <c r="E18" s="66">
        <f>E17*(1-Cover!$B$40)</f>
        <v/>
      </c>
    </row>
    <row r="19"/>
    <row r="20">
      <c r="A20" s="3" t="inlineStr">
        <is>
          <t>Pro Forma Net Income ($M)</t>
        </is>
      </c>
    </row>
    <row r="21">
      <c r="A21" s="3" t="inlineStr">
        <is>
          <t>Combined NI + after-tax synergy − integration</t>
        </is>
      </c>
      <c r="B21" s="64">
        <f>B8+B14-B18</f>
        <v/>
      </c>
      <c r="C21" s="64">
        <f>C8+C14-C18</f>
        <v/>
      </c>
      <c r="D21" s="64">
        <f>D8+D14-D18</f>
        <v/>
      </c>
      <c r="E21" s="64">
        <f>E8+E14-E18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tabColor rgb="FF70AD47"/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50.7109375" customWidth="1" min="1" max="1"/>
    <col width="14.7109375" customWidth="1" min="2" max="2"/>
    <col width="60.7109375" customWidth="1" min="3" max="3"/>
  </cols>
  <sheetData>
    <row r="1">
      <c r="A1" s="1" t="inlineStr">
        <is>
          <t>Sources &amp; Uses + Pro Forma Capital</t>
        </is>
      </c>
    </row>
    <row r="2">
      <c r="A2" s="2" t="inlineStr">
        <is>
          <t>Capital One / Discover · 1-Year Retrospective | $M unless noted</t>
        </is>
      </c>
    </row>
    <row r="3"/>
    <row r="4">
      <c r="A4" s="3" t="inlineStr">
        <is>
          <t>SOURCES &amp; USES (at close, $M)</t>
        </is>
      </c>
    </row>
    <row r="5">
      <c r="A5" s="3" t="inlineStr">
        <is>
          <t>Uses:</t>
        </is>
      </c>
    </row>
    <row r="6">
      <c r="A6" s="3" t="inlineStr">
        <is>
          <t>Equity to DFS shareholders</t>
        </is>
      </c>
      <c r="B6" s="66">
        <f>Cover!B13*1000</f>
        <v/>
      </c>
      <c r="C6" s="3" t="inlineStr">
        <is>
          <t>Headline deal value $35.3B from Cover</t>
        </is>
      </c>
    </row>
    <row r="7">
      <c r="A7" s="3" t="inlineStr">
        <is>
          <t>DFS net debt assumed</t>
        </is>
      </c>
      <c r="B7" s="61" t="n">
        <v>9500</v>
      </c>
      <c r="C7" s="3" t="inlineStr">
        <is>
          <t>Long-term borrowings + ST debt − cash (DFS Q1 2025)</t>
        </is>
      </c>
    </row>
    <row r="8">
      <c r="A8" s="3" t="inlineStr">
        <is>
          <t>Transaction fees (advisor + financing)</t>
        </is>
      </c>
      <c r="B8" s="61" t="n">
        <v>250</v>
      </c>
      <c r="C8" s="3" t="inlineStr">
        <is>
          <t>Standard ~0.7% of deal value</t>
        </is>
      </c>
    </row>
    <row r="9">
      <c r="A9" s="3" t="inlineStr">
        <is>
          <t>Total uses</t>
        </is>
      </c>
      <c r="B9" s="64">
        <f>SUM(B6:B8)</f>
        <v/>
      </c>
    </row>
    <row r="10"/>
    <row r="11">
      <c r="A11" s="3" t="inlineStr">
        <is>
          <t>Sources:</t>
        </is>
      </c>
    </row>
    <row r="12">
      <c r="A12" s="3" t="inlineStr">
        <is>
          <t>COF stock issued (~248M shares × COF price)</t>
        </is>
      </c>
      <c r="B12" s="64">
        <f>B6</f>
        <v/>
      </c>
    </row>
    <row r="13">
      <c r="A13" s="3" t="inlineStr">
        <is>
          <t>DFS net debt rolled (no refi at close)</t>
        </is>
      </c>
      <c r="B13" s="64">
        <f>B7</f>
        <v/>
      </c>
    </row>
    <row r="14">
      <c r="A14" s="3" t="inlineStr">
        <is>
          <t>COF cash on hand (fees)</t>
        </is>
      </c>
      <c r="B14" s="64">
        <f>B8</f>
        <v/>
      </c>
    </row>
    <row r="15">
      <c r="A15" s="3" t="inlineStr">
        <is>
          <t>Total sources</t>
        </is>
      </c>
      <c r="B15" s="64">
        <f>SUM(B12:B14)</f>
        <v/>
      </c>
    </row>
    <row r="16">
      <c r="A16" s="3" t="inlineStr">
        <is>
          <t>Check (Sources − Uses)</t>
        </is>
      </c>
      <c r="B16" s="64">
        <f>B15-B9</f>
        <v/>
      </c>
    </row>
    <row r="17"/>
    <row r="18">
      <c r="A18" s="4" t="inlineStr">
        <is>
          <t>GOODWILL CALC ($M)</t>
        </is>
      </c>
      <c r="B18" s="4" t="n"/>
      <c r="C18" s="4" t="n"/>
      <c r="D18" s="4" t="n"/>
      <c r="E18" s="4" t="n"/>
    </row>
    <row r="19">
      <c r="A19" s="3" t="inlineStr">
        <is>
          <t>Equity consideration to DFS</t>
        </is>
      </c>
      <c r="B19" s="64">
        <f>B6</f>
        <v/>
      </c>
    </row>
    <row r="20">
      <c r="A20" s="3" t="inlineStr">
        <is>
          <t>DFS book equity at close (est.)</t>
        </is>
      </c>
      <c r="B20" s="61" t="n">
        <v>17900</v>
      </c>
      <c r="C20" s="3" t="inlineStr">
        <is>
          <t>DFS GAAP stockholders' equity Q1 2025 (last reported pre-close)</t>
        </is>
      </c>
    </row>
    <row r="21">
      <c r="A21" s="3" t="inlineStr">
        <is>
          <t>Identifiable intangibles (card relationships + network)</t>
        </is>
      </c>
      <c r="B21" s="61" t="n">
        <v>13400</v>
      </c>
      <c r="C21" s="3" t="inlineStr">
        <is>
          <t>Per COF Q2 2025 10-Q: $10.3B card relationships + $3.1B network</t>
        </is>
      </c>
    </row>
    <row r="22">
      <c r="A22" s="3" t="inlineStr">
        <is>
          <t>Less: DFS loan portfolio fair-value markdown</t>
        </is>
      </c>
      <c r="B22" s="61" t="n">
        <v>-9000</v>
      </c>
      <c r="C22" s="3" t="inlineStr">
        <is>
          <t>Day-1 PPA mark for credit + rate; feeds Q2 2025 $7.9B allowance build</t>
        </is>
      </c>
    </row>
    <row r="23">
      <c r="A23" s="3" t="inlineStr">
        <is>
          <t>Goodwill created</t>
        </is>
      </c>
      <c r="B23" s="64">
        <f>B19-B20-B22-B21</f>
        <v/>
      </c>
      <c r="C23" s="3" t="inlineStr">
        <is>
          <t>Calculated; ties to COF Q2 2025 reported $13.2B</t>
        </is>
      </c>
    </row>
    <row r="24"/>
    <row r="25">
      <c r="A25" s="4" t="inlineStr">
        <is>
          <t>PRO FORMA CAPITAL</t>
        </is>
      </c>
      <c r="B25" s="4" t="n"/>
      <c r="C25" s="4" t="n"/>
      <c r="D25" s="4" t="n"/>
      <c r="E25" s="4" t="n"/>
    </row>
    <row r="26">
      <c r="A26" s="3" t="inlineStr">
        <is>
          <t>COF CET1 pre-deal ($B)</t>
        </is>
      </c>
      <c r="B26" s="61" t="n">
        <v>56</v>
      </c>
    </row>
    <row r="27">
      <c r="A27" s="3" t="inlineStr">
        <is>
          <t>DFS CET1 acquired ($B)</t>
        </is>
      </c>
      <c r="B27" s="59" t="n">
        <v>14.5</v>
      </c>
    </row>
    <row r="28">
      <c r="A28" s="3" t="inlineStr">
        <is>
          <t>Goodwill + intangibles deducted from CET1 ($B)</t>
        </is>
      </c>
      <c r="B28" s="64">
        <f>-(B23+B21)/1000</f>
        <v/>
      </c>
    </row>
    <row r="29">
      <c r="A29" s="3" t="inlineStr">
        <is>
          <t>Pro forma CET1 ($B)</t>
        </is>
      </c>
      <c r="B29" s="64">
        <f>B25+B26+B27</f>
        <v/>
      </c>
    </row>
    <row r="30">
      <c r="A30" s="3" t="inlineStr">
        <is>
          <t>Pro forma RWA ($B, est.)</t>
        </is>
      </c>
      <c r="B30" s="61" t="n">
        <v>480</v>
      </c>
    </row>
    <row r="31">
      <c r="A31" s="3" t="inlineStr">
        <is>
          <t>Pro forma CET1 ratio</t>
        </is>
      </c>
      <c r="B31" s="60" t="n">
        <v>0.14</v>
      </c>
      <c r="C31" s="3" t="inlineStr">
        <is>
          <t>Override: actual reported 14.0% Q2 2025 (vs calc which uses placeholder RWA)</t>
        </is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tabColor rgb="FF4F81BD"/>
    <outlinePr summaryBelow="1" summaryRight="1"/>
    <pageSetUpPr/>
  </sheetPr>
  <dimension ref="A1:F25"/>
  <sheetViews>
    <sheetView showGridLines="0" workbookViewId="0">
      <selection activeCell="A1" sqref="A1"/>
    </sheetView>
  </sheetViews>
  <sheetFormatPr baseColWidth="8" defaultRowHeight="15"/>
  <cols>
    <col width="54.7109375" customWidth="1" min="1" max="1"/>
    <col width="14.7109375" customWidth="1" min="2" max="6"/>
  </cols>
  <sheetData>
    <row r="1">
      <c r="A1" s="1" t="inlineStr">
        <is>
          <t>Purchase Price Allocation</t>
        </is>
      </c>
    </row>
    <row r="2">
      <c r="A2" s="2" t="inlineStr">
        <is>
          <t>Capital One / Discover · 1-Year Retrospective · $M unless noted</t>
        </is>
      </c>
    </row>
    <row r="3"/>
    <row r="4">
      <c r="A4" s="4" t="inlineStr">
        <is>
          <t>PURCHASE PRICE</t>
        </is>
      </c>
      <c r="B4" s="4" t="n"/>
      <c r="C4" s="4" t="n"/>
      <c r="D4" s="4" t="n"/>
      <c r="E4" s="4" t="n"/>
      <c r="F4" s="4" t="n"/>
    </row>
    <row r="5">
      <c r="A5" s="13" t="inlineStr">
        <is>
          <t>Offer value (equity to DFS holders, $B)</t>
        </is>
      </c>
      <c r="B5" s="67">
        <f>Cover!B13</f>
        <v/>
      </c>
    </row>
    <row r="6">
      <c r="A6" s="13" t="inlineStr">
        <is>
          <t>Less: DFS book equity at close ($B)</t>
        </is>
      </c>
      <c r="B6" s="68" t="n">
        <v>17.9</v>
      </c>
    </row>
    <row r="7">
      <c r="A7" s="16" t="inlineStr">
        <is>
          <t>Excess to allocate ($B)</t>
        </is>
      </c>
      <c r="B7" s="69">
        <f>B5-B6</f>
        <v/>
      </c>
    </row>
    <row r="8"/>
    <row r="9">
      <c r="A9" s="4" t="inlineStr">
        <is>
          <t>IDENTIFIABLE INTANGIBLES &amp; WRITE-UPS</t>
        </is>
      </c>
      <c r="B9" s="4" t="n"/>
      <c r="C9" s="4" t="n"/>
      <c r="D9" s="4" t="n"/>
      <c r="E9" s="4" t="n"/>
      <c r="F9" s="4" t="n"/>
    </row>
    <row r="10">
      <c r="A10" s="13" t="inlineStr">
        <is>
          <t>Network intangible (indefinite life, $B)</t>
        </is>
      </c>
      <c r="B10" s="68" t="n">
        <v>3.1</v>
      </c>
    </row>
    <row r="11">
      <c r="A11" s="13" t="inlineStr">
        <is>
          <t>Card-relationship intangible (definite, 10yr, $B)</t>
        </is>
      </c>
      <c r="B11" s="68" t="n">
        <v>10.3</v>
      </c>
    </row>
    <row r="12">
      <c r="A12" s="13" t="inlineStr">
        <is>
          <t>Loan fair-value markdown (gross, $B)</t>
        </is>
      </c>
      <c r="B12" s="68" t="n">
        <v>9</v>
      </c>
    </row>
    <row r="13">
      <c r="A13" s="13" t="inlineStr">
        <is>
          <t>Fixed asset write-up ($B)</t>
        </is>
      </c>
      <c r="B13" s="68" t="n">
        <v>0</v>
      </c>
    </row>
    <row r="14">
      <c r="A14" s="16" t="inlineStr">
        <is>
          <t>Total identifiable adjustments ($B)</t>
        </is>
      </c>
      <c r="B14" s="69">
        <f>SUM(B10:B13)</f>
        <v/>
      </c>
    </row>
    <row r="15"/>
    <row r="16">
      <c r="A16" s="4" t="inlineStr">
        <is>
          <t>DEFERRED TAX LIABILITY</t>
        </is>
      </c>
      <c r="B16" s="4" t="n"/>
      <c r="C16" s="4" t="n"/>
      <c r="D16" s="4" t="n"/>
      <c r="E16" s="4" t="n"/>
      <c r="F16" s="4" t="n"/>
    </row>
    <row r="17">
      <c r="A17" s="13" t="inlineStr">
        <is>
          <t>DTL: 21% on amortizable intangibles ($B)</t>
        </is>
      </c>
      <c r="B17" s="67">
        <f>(B10+B11)*Cover!B40</f>
        <v/>
      </c>
    </row>
    <row r="18"/>
    <row r="19">
      <c r="A19" s="4" t="inlineStr">
        <is>
          <t>GOODWILL RECONCILIATION</t>
        </is>
      </c>
      <c r="B19" s="4" t="n"/>
      <c r="C19" s="4" t="n"/>
      <c r="D19" s="4" t="n"/>
      <c r="E19" s="4" t="n"/>
      <c r="F19" s="4" t="n"/>
    </row>
    <row r="20">
      <c r="A20" s="13" t="inlineStr">
        <is>
          <t>Implied goodwill = excess - identifiable + DTL ($B)</t>
        </is>
      </c>
      <c r="B20" s="70">
        <f>B7-B14+B17</f>
        <v/>
      </c>
    </row>
    <row r="21">
      <c r="A21" s="13" t="inlineStr">
        <is>
          <t>Disclosed goodwill (Q2 2025 10-Q, $B)</t>
        </is>
      </c>
      <c r="B21" s="68" t="n">
        <v>13.2</v>
      </c>
    </row>
    <row r="22">
      <c r="A22" s="13" t="inlineStr">
        <is>
          <t>Reconciliation difference ($B)</t>
        </is>
      </c>
      <c r="B22" s="71">
        <f>B20-B21</f>
        <v/>
      </c>
    </row>
    <row r="23"/>
    <row r="24">
      <c r="A24" s="20" t="inlineStr">
        <is>
          <t>Source: COF Q2 2025 10-Q, Note 3 (Business Combinations). DFS book equity per DFS Q1 2025 10-Q.</t>
        </is>
      </c>
    </row>
    <row r="25">
      <c r="A25" s="20" t="inlineStr">
        <is>
          <t>Note: implied goodwill may differ from the disclosed $13.2B due to PPA items not modeled here (deferred tax assets, contingent liabilities, AOCI recycling, day-2 CECL reserve build).</t>
        </is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tabColor rgb="FF4F81BD"/>
    <outlinePr summaryBelow="1" summaryRight="1"/>
    <pageSetUpPr/>
  </sheetPr>
  <dimension ref="A1:K24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50.7109375" customWidth="1" min="1" max="1"/>
    <col width="12.7109375" customWidth="1" min="2" max="11"/>
  </cols>
  <sheetData>
    <row r="1">
      <c r="A1" s="1" t="inlineStr">
        <is>
          <t>Intangible Amortization Schedule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2025E</t>
        </is>
      </c>
      <c r="C4" s="11" t="inlineStr">
        <is>
          <t>2026E</t>
        </is>
      </c>
      <c r="D4" s="11" t="inlineStr">
        <is>
          <t>2027E</t>
        </is>
      </c>
      <c r="E4" s="11" t="inlineStr">
        <is>
          <t>2028E</t>
        </is>
      </c>
      <c r="F4" s="11" t="inlineStr">
        <is>
          <t>2029E</t>
        </is>
      </c>
      <c r="G4" s="11" t="inlineStr">
        <is>
          <t>2030E</t>
        </is>
      </c>
      <c r="H4" s="11" t="inlineStr">
        <is>
          <t>2031E</t>
        </is>
      </c>
      <c r="I4" s="11" t="inlineStr">
        <is>
          <t>2032E</t>
        </is>
      </c>
      <c r="J4" s="11" t="inlineStr">
        <is>
          <t>2033E</t>
        </is>
      </c>
      <c r="K4" s="11" t="inlineStr">
        <is>
          <t>2034E</t>
        </is>
      </c>
    </row>
    <row r="5"/>
    <row r="6">
      <c r="A6" s="4" t="inlineStr">
        <is>
          <t>CARD-RELATIONSHIP INTANGIBLE (DEFINITE LIFE)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</row>
    <row r="7">
      <c r="A7" s="13" t="inlineStr">
        <is>
          <t>Card-relationship intangible at close ($M)</t>
        </is>
      </c>
      <c r="B7" s="61" t="n">
        <v>10300</v>
      </c>
    </row>
    <row r="8">
      <c r="A8" s="13" t="inlineStr">
        <is>
          <t>Amortization life (years)</t>
        </is>
      </c>
      <c r="B8" s="61" t="n">
        <v>10</v>
      </c>
    </row>
    <row r="9">
      <c r="A9" s="13" t="inlineStr">
        <is>
          <t>Straight-line annual amort ($M)</t>
        </is>
      </c>
      <c r="B9" s="72">
        <f>B7/B8</f>
        <v/>
      </c>
    </row>
    <row r="10">
      <c r="A10" s="13" t="inlineStr">
        <is>
          <t>Stub-year factor (close 18-May-2025)</t>
        </is>
      </c>
      <c r="B10" s="59" t="n">
        <v>0.625</v>
      </c>
      <c r="C10" s="59" t="n">
        <v>1</v>
      </c>
      <c r="D10" s="59" t="n">
        <v>1</v>
      </c>
      <c r="E10" s="59" t="n">
        <v>1</v>
      </c>
      <c r="F10" s="59" t="n">
        <v>1</v>
      </c>
      <c r="G10" s="59" t="n">
        <v>1</v>
      </c>
      <c r="H10" s="59" t="n">
        <v>1</v>
      </c>
      <c r="I10" s="59" t="n">
        <v>1</v>
      </c>
      <c r="J10" s="59" t="n">
        <v>1</v>
      </c>
      <c r="K10" s="59" t="n">
        <v>0.375</v>
      </c>
    </row>
    <row r="11">
      <c r="A11" s="13" t="inlineStr">
        <is>
          <t>Card pre-tax amort ($M)</t>
        </is>
      </c>
      <c r="B11" s="72">
        <f>$B$9*B10</f>
        <v/>
      </c>
      <c r="C11" s="72">
        <f>$B$9*C10</f>
        <v/>
      </c>
      <c r="D11" s="72">
        <f>$B$9*D10</f>
        <v/>
      </c>
      <c r="E11" s="72">
        <f>$B$9*E10</f>
        <v/>
      </c>
      <c r="F11" s="72">
        <f>$B$9*F10</f>
        <v/>
      </c>
      <c r="G11" s="72">
        <f>$B$9*G10</f>
        <v/>
      </c>
      <c r="H11" s="72">
        <f>$B$9*H10</f>
        <v/>
      </c>
      <c r="I11" s="72">
        <f>$B$9*I10</f>
        <v/>
      </c>
      <c r="J11" s="72">
        <f>$B$9*J10</f>
        <v/>
      </c>
      <c r="K11" s="72">
        <f>$B$9*K10</f>
        <v/>
      </c>
    </row>
    <row r="12"/>
    <row r="13">
      <c r="A13" s="4" t="inlineStr">
        <is>
          <t>NETWORK INTANGIBLE (INDEFINITE LIFE)</t>
        </is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</row>
    <row r="14">
      <c r="A14" s="13" t="inlineStr">
        <is>
          <t>Network intangible at close ($M)</t>
        </is>
      </c>
      <c r="B14" s="61" t="n">
        <v>3100</v>
      </c>
    </row>
    <row r="15">
      <c r="A15" s="13" t="inlineStr">
        <is>
          <t>Annual amort ($M) (impairment test only)</t>
        </is>
      </c>
      <c r="B15" s="61" t="n">
        <v>0</v>
      </c>
      <c r="C15" s="61" t="n">
        <v>0</v>
      </c>
      <c r="D15" s="61" t="n">
        <v>0</v>
      </c>
      <c r="E15" s="61" t="n">
        <v>0</v>
      </c>
      <c r="F15" s="61" t="n">
        <v>0</v>
      </c>
      <c r="G15" s="61" t="n">
        <v>0</v>
      </c>
      <c r="H15" s="61" t="n">
        <v>0</v>
      </c>
      <c r="I15" s="61" t="n">
        <v>0</v>
      </c>
      <c r="J15" s="61" t="n">
        <v>0</v>
      </c>
      <c r="K15" s="61" t="n">
        <v>0</v>
      </c>
    </row>
    <row r="16"/>
    <row r="17">
      <c r="A17" s="4" t="inlineStr">
        <is>
          <t>TOTAL AMORTIZATION IMPACT</t>
        </is>
      </c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</row>
    <row r="18">
      <c r="A18" s="16" t="inlineStr">
        <is>
          <t>Total pre-tax amort ($M)</t>
        </is>
      </c>
      <c r="B18" s="73">
        <f>B11+B15</f>
        <v/>
      </c>
      <c r="C18" s="73">
        <f>C11+C15</f>
        <v/>
      </c>
      <c r="D18" s="73">
        <f>D11+D15</f>
        <v/>
      </c>
      <c r="E18" s="73">
        <f>E11+E15</f>
        <v/>
      </c>
      <c r="F18" s="73">
        <f>F11+F15</f>
        <v/>
      </c>
      <c r="G18" s="73">
        <f>G11+G15</f>
        <v/>
      </c>
      <c r="H18" s="73">
        <f>H11+H15</f>
        <v/>
      </c>
      <c r="I18" s="73">
        <f>I11+I15</f>
        <v/>
      </c>
      <c r="J18" s="73">
        <f>J11+J15</f>
        <v/>
      </c>
      <c r="K18" s="73">
        <f>K11+K15</f>
        <v/>
      </c>
    </row>
    <row r="19">
      <c r="A19" s="13" t="inlineStr">
        <is>
          <t>Tax shield at 21% ($M)</t>
        </is>
      </c>
      <c r="B19" s="74">
        <f>B18*Cover!$B$40</f>
        <v/>
      </c>
      <c r="C19" s="74">
        <f>C18*Cover!$B$40</f>
        <v/>
      </c>
      <c r="D19" s="74">
        <f>D18*Cover!$B$40</f>
        <v/>
      </c>
      <c r="E19" s="74">
        <f>E18*Cover!$B$40</f>
        <v/>
      </c>
      <c r="F19" s="74">
        <f>F18*Cover!$B$40</f>
        <v/>
      </c>
      <c r="G19" s="74">
        <f>G18*Cover!$B$40</f>
        <v/>
      </c>
      <c r="H19" s="74">
        <f>H18*Cover!$B$40</f>
        <v/>
      </c>
      <c r="I19" s="74">
        <f>I18*Cover!$B$40</f>
        <v/>
      </c>
      <c r="J19" s="74">
        <f>J18*Cover!$B$40</f>
        <v/>
      </c>
      <c r="K19" s="74">
        <f>K18*Cover!$B$40</f>
        <v/>
      </c>
    </row>
    <row r="20">
      <c r="A20" s="16" t="inlineStr">
        <is>
          <t>After-tax NI impact ($M) [reduces NI]</t>
        </is>
      </c>
      <c r="B20" s="75">
        <f>B18-B19</f>
        <v/>
      </c>
      <c r="C20" s="75">
        <f>C18-C19</f>
        <v/>
      </c>
      <c r="D20" s="75">
        <f>D18-D19</f>
        <v/>
      </c>
      <c r="E20" s="75">
        <f>E18-E19</f>
        <v/>
      </c>
      <c r="F20" s="75">
        <f>F18-F19</f>
        <v/>
      </c>
      <c r="G20" s="75">
        <f>G18-G19</f>
        <v/>
      </c>
      <c r="H20" s="75">
        <f>H18-H19</f>
        <v/>
      </c>
      <c r="I20" s="75">
        <f>I18-I19</f>
        <v/>
      </c>
      <c r="J20" s="75">
        <f>J18-J19</f>
        <v/>
      </c>
      <c r="K20" s="75">
        <f>K18-K19</f>
        <v/>
      </c>
    </row>
    <row r="21">
      <c r="A21" s="13" t="inlineStr">
        <is>
          <t>PF diluted shares (M)</t>
        </is>
      </c>
      <c r="B21" s="59" t="n">
        <v>662.8</v>
      </c>
      <c r="C21" s="59" t="n">
        <v>662.8</v>
      </c>
      <c r="D21" s="59" t="n">
        <v>662.8</v>
      </c>
      <c r="E21" s="59" t="n">
        <v>662.8</v>
      </c>
      <c r="F21" s="59" t="n">
        <v>662.8</v>
      </c>
      <c r="G21" s="59" t="n">
        <v>662.8</v>
      </c>
      <c r="H21" s="59" t="n">
        <v>662.8</v>
      </c>
      <c r="I21" s="59" t="n">
        <v>662.8</v>
      </c>
      <c r="J21" s="59" t="n">
        <v>662.8</v>
      </c>
      <c r="K21" s="59" t="n">
        <v>662.8</v>
      </c>
    </row>
    <row r="22">
      <c r="A22" s="13" t="inlineStr">
        <is>
          <t>After-tax EPS impact ($/share)</t>
        </is>
      </c>
      <c r="B22" s="76">
        <f>B20/B21</f>
        <v/>
      </c>
      <c r="C22" s="76">
        <f>C20/C21</f>
        <v/>
      </c>
      <c r="D22" s="76">
        <f>D20/D21</f>
        <v/>
      </c>
      <c r="E22" s="76">
        <f>E20/E21</f>
        <v/>
      </c>
      <c r="F22" s="76">
        <f>F20/F21</f>
        <v/>
      </c>
      <c r="G22" s="76">
        <f>G20/G21</f>
        <v/>
      </c>
      <c r="H22" s="76">
        <f>H20/H21</f>
        <v/>
      </c>
      <c r="I22" s="76">
        <f>I20/I21</f>
        <v/>
      </c>
      <c r="J22" s="76">
        <f>J20/J21</f>
        <v/>
      </c>
      <c r="K22" s="76">
        <f>K20/K21</f>
        <v/>
      </c>
    </row>
    <row r="23"/>
    <row r="24">
      <c r="A24" s="20" t="inlineStr">
        <is>
          <t>Source: Amortization life inferred from disclosed intangibles + standard 10yr life on PCD card relationships per ASC 805. Stub-year factor reflects 18-May-2025 close (~7.5 of 12 months).</t>
        </is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tabColor rgb="FF4F81BD"/>
    <outlinePr summaryBelow="1" summaryRight="1"/>
    <pageSetUpPr/>
  </sheetPr>
  <dimension ref="A1:F37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46.7109375" customWidth="1" min="1" max="1"/>
    <col width="16.7109375" customWidth="1" min="2" max="6"/>
  </cols>
  <sheetData>
    <row r="1">
      <c r="A1" s="1" t="inlineStr">
        <is>
          <t>Pro-Forma Combined Balance Sheet at Close (May 2025)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COF pre-merger</t>
        </is>
      </c>
      <c r="C4" s="11" t="inlineStr">
        <is>
          <t>DFS pre-merger</t>
        </is>
      </c>
      <c r="D4" s="11" t="inlineStr">
        <is>
          <t>PPA adj</t>
        </is>
      </c>
      <c r="E4" s="11" t="inlineStr">
        <is>
          <t>Financing adj</t>
        </is>
      </c>
      <c r="F4" s="11" t="inlineStr">
        <is>
          <t>PF Combined</t>
        </is>
      </c>
    </row>
    <row r="5">
      <c r="A5" s="4" t="inlineStr">
        <is>
          <t>ASSETS ($B)</t>
        </is>
      </c>
      <c r="B5" s="4" t="n"/>
      <c r="C5" s="4" t="n"/>
      <c r="D5" s="4" t="n"/>
      <c r="E5" s="4" t="n"/>
      <c r="F5" s="4" t="n"/>
    </row>
    <row r="6">
      <c r="A6" s="13" t="inlineStr">
        <is>
          <t>Cash and equivalents</t>
        </is>
      </c>
      <c r="B6" s="68" t="n">
        <v>50</v>
      </c>
      <c r="C6" s="68" t="n">
        <v>11</v>
      </c>
      <c r="D6" s="68" t="n">
        <v>0</v>
      </c>
      <c r="E6" s="68" t="n">
        <v>0</v>
      </c>
      <c r="F6" s="71">
        <f>SUM(B6:E6)</f>
        <v/>
      </c>
    </row>
    <row r="7">
      <c r="A7" s="13" t="inlineStr">
        <is>
          <t>Loans, gross</t>
        </is>
      </c>
      <c r="B7" s="68" t="n">
        <v>320</v>
      </c>
      <c r="C7" s="68" t="n">
        <v>125</v>
      </c>
      <c r="D7" s="68" t="n">
        <v>-9</v>
      </c>
      <c r="E7" s="68" t="n">
        <v>0</v>
      </c>
      <c r="F7" s="71">
        <f>SUM(B7:E7)</f>
        <v/>
      </c>
    </row>
    <row r="8">
      <c r="A8" s="13" t="inlineStr">
        <is>
          <t>ALLL</t>
        </is>
      </c>
      <c r="B8" s="68" t="n">
        <v>-16</v>
      </c>
      <c r="C8" s="68" t="n">
        <v>-9</v>
      </c>
      <c r="D8" s="68" t="n">
        <v>0</v>
      </c>
      <c r="E8" s="68" t="n">
        <v>0</v>
      </c>
      <c r="F8" s="71">
        <f>SUM(B8:E8)</f>
        <v/>
      </c>
    </row>
    <row r="9">
      <c r="A9" s="13" t="inlineStr">
        <is>
          <t>Loans, net</t>
        </is>
      </c>
      <c r="B9" s="71">
        <f>B7+B8</f>
        <v/>
      </c>
      <c r="C9" s="71">
        <f>C7+C8</f>
        <v/>
      </c>
      <c r="D9" s="71">
        <f>D7+D8</f>
        <v/>
      </c>
      <c r="E9" s="71">
        <f>E7+E8</f>
        <v/>
      </c>
      <c r="F9" s="71">
        <f>SUM(B9:E9)</f>
        <v/>
      </c>
    </row>
    <row r="10">
      <c r="A10" s="13" t="inlineStr">
        <is>
          <t>Investments / AFS securities</t>
        </is>
      </c>
      <c r="B10" s="68" t="n">
        <v>85</v>
      </c>
      <c r="C10" s="68" t="n">
        <v>23</v>
      </c>
      <c r="D10" s="68" t="n">
        <v>0</v>
      </c>
      <c r="E10" s="68" t="n">
        <v>0</v>
      </c>
      <c r="F10" s="71">
        <f>SUM(B10:E10)</f>
        <v/>
      </c>
    </row>
    <row r="11">
      <c r="A11" s="13" t="inlineStr">
        <is>
          <t>Goodwill</t>
        </is>
      </c>
      <c r="B11" s="68" t="n">
        <v>15</v>
      </c>
      <c r="C11" s="68" t="n">
        <v>0</v>
      </c>
      <c r="D11" s="68" t="n">
        <v>13.2</v>
      </c>
      <c r="E11" s="68" t="n">
        <v>0</v>
      </c>
      <c r="F11" s="71">
        <f>SUM(B11:E11)</f>
        <v/>
      </c>
    </row>
    <row r="12">
      <c r="A12" s="13" t="inlineStr">
        <is>
          <t>Intangibles, definite-life</t>
        </is>
      </c>
      <c r="B12" s="68" t="n">
        <v>0</v>
      </c>
      <c r="C12" s="68" t="n">
        <v>0</v>
      </c>
      <c r="D12" s="68" t="n">
        <v>10.3</v>
      </c>
      <c r="E12" s="68" t="n">
        <v>0</v>
      </c>
      <c r="F12" s="71">
        <f>SUM(B12:E12)</f>
        <v/>
      </c>
    </row>
    <row r="13">
      <c r="A13" s="13" t="inlineStr">
        <is>
          <t>Intangibles, indefinite-life</t>
        </is>
      </c>
      <c r="B13" s="68" t="n">
        <v>0</v>
      </c>
      <c r="C13" s="68" t="n">
        <v>0</v>
      </c>
      <c r="D13" s="68" t="n">
        <v>3.1</v>
      </c>
      <c r="E13" s="68" t="n">
        <v>0</v>
      </c>
      <c r="F13" s="71">
        <f>SUM(B13:E13)</f>
        <v/>
      </c>
    </row>
    <row r="14">
      <c r="A14" s="13" t="inlineStr">
        <is>
          <t>Other assets</t>
        </is>
      </c>
      <c r="B14" s="68" t="n">
        <v>25</v>
      </c>
      <c r="C14" s="68" t="n">
        <v>10</v>
      </c>
      <c r="D14" s="68" t="n">
        <v>0</v>
      </c>
      <c r="E14" s="68" t="n">
        <v>0</v>
      </c>
      <c r="F14" s="71">
        <f>SUM(B14:E14)</f>
        <v/>
      </c>
    </row>
    <row r="15">
      <c r="A15" s="16" t="inlineStr">
        <is>
          <t>Total assets</t>
        </is>
      </c>
      <c r="B15" s="69">
        <f>B6+B9+B10+B11+B12+B13+B14</f>
        <v/>
      </c>
      <c r="C15" s="69">
        <f>C6+C9+C10+C11+C12+C13+C14</f>
        <v/>
      </c>
      <c r="D15" s="69">
        <f>D6+D9+D10+D11+D12+D13+D14</f>
        <v/>
      </c>
      <c r="E15" s="69">
        <f>E6+E9+E10+E11+E12+E13+E14</f>
        <v/>
      </c>
      <c r="F15" s="69">
        <f>F6+F9+F10+F11+F12+F13+F14</f>
        <v/>
      </c>
    </row>
    <row r="16"/>
    <row r="17">
      <c r="A17" s="4" t="inlineStr">
        <is>
          <t>LIABILITIES &amp; EQUITY ($B)</t>
        </is>
      </c>
      <c r="B17" s="4" t="n"/>
      <c r="C17" s="4" t="n"/>
      <c r="D17" s="4" t="n"/>
      <c r="E17" s="4" t="n"/>
      <c r="F17" s="4" t="n"/>
    </row>
    <row r="18">
      <c r="A18" s="13" t="inlineStr">
        <is>
          <t>Deposits</t>
        </is>
      </c>
      <c r="B18" s="68" t="n">
        <v>370</v>
      </c>
      <c r="C18" s="68" t="n">
        <v>110</v>
      </c>
      <c r="D18" s="68" t="n">
        <v>0</v>
      </c>
      <c r="E18" s="68" t="n">
        <v>0</v>
      </c>
      <c r="F18" s="71">
        <f>SUM(B18:E18)</f>
        <v/>
      </c>
    </row>
    <row r="19">
      <c r="A19" s="13" t="inlineStr">
        <is>
          <t>Long-term debt</t>
        </is>
      </c>
      <c r="B19" s="68" t="n">
        <v>44</v>
      </c>
      <c r="C19" s="68" t="n">
        <v>22</v>
      </c>
      <c r="D19" s="68" t="n">
        <v>0</v>
      </c>
      <c r="E19" s="68" t="n">
        <v>0</v>
      </c>
      <c r="F19" s="71">
        <f>SUM(B19:E19)</f>
        <v/>
      </c>
    </row>
    <row r="20">
      <c r="A20" s="13" t="inlineStr">
        <is>
          <t>Other liabilities</t>
        </is>
      </c>
      <c r="B20" s="68" t="n">
        <v>11</v>
      </c>
      <c r="C20" s="68" t="n">
        <v>5</v>
      </c>
      <c r="D20" s="68" t="n">
        <v>2.8</v>
      </c>
      <c r="E20" s="68" t="n">
        <v>0</v>
      </c>
      <c r="F20" s="71">
        <f>SUM(B20:E20)</f>
        <v/>
      </c>
    </row>
    <row r="21">
      <c r="A21" s="16" t="inlineStr">
        <is>
          <t>Total liabilities</t>
        </is>
      </c>
      <c r="B21" s="69">
        <f>B18+B19+B20</f>
        <v/>
      </c>
      <c r="C21" s="69">
        <f>C18+C19+C20</f>
        <v/>
      </c>
      <c r="D21" s="69">
        <f>D18+D19+D20</f>
        <v/>
      </c>
      <c r="E21" s="69">
        <f>E18+E19+E20</f>
        <v/>
      </c>
      <c r="F21" s="69">
        <f>F18+F19+F20</f>
        <v/>
      </c>
    </row>
    <row r="22">
      <c r="A22" s="13" t="inlineStr">
        <is>
          <t>Common stock + APIC</t>
        </is>
      </c>
      <c r="B22" s="68" t="n">
        <v>8</v>
      </c>
      <c r="C22" s="68" t="n">
        <v>10</v>
      </c>
      <c r="D22" s="68" t="n">
        <v>-10</v>
      </c>
      <c r="E22" s="68" t="n">
        <v>35.3</v>
      </c>
      <c r="F22" s="71">
        <f>SUM(B22:E22)</f>
        <v/>
      </c>
    </row>
    <row r="23">
      <c r="A23" s="13" t="inlineStr">
        <is>
          <t>Retained earnings</t>
        </is>
      </c>
      <c r="B23" s="68" t="n">
        <v>46</v>
      </c>
      <c r="C23" s="68" t="n">
        <v>10</v>
      </c>
      <c r="D23" s="68" t="n">
        <v>-10</v>
      </c>
      <c r="E23" s="68" t="n">
        <v>0</v>
      </c>
      <c r="F23" s="71">
        <f>SUM(B23:E23)</f>
        <v/>
      </c>
    </row>
    <row r="24">
      <c r="A24" s="13" t="inlineStr">
        <is>
          <t>AOCI</t>
        </is>
      </c>
      <c r="B24" s="68" t="n">
        <v>-5</v>
      </c>
      <c r="C24" s="68" t="n">
        <v>-2</v>
      </c>
      <c r="D24" s="68" t="n">
        <v>2</v>
      </c>
      <c r="E24" s="68" t="n">
        <v>0</v>
      </c>
      <c r="F24" s="71">
        <f>SUM(B24:E24)</f>
        <v/>
      </c>
    </row>
    <row r="25">
      <c r="A25" s="16" t="inlineStr">
        <is>
          <t>Total equity</t>
        </is>
      </c>
      <c r="B25" s="69">
        <f>B22+B23+B24</f>
        <v/>
      </c>
      <c r="C25" s="69">
        <f>C22+C23+C24</f>
        <v/>
      </c>
      <c r="D25" s="69">
        <f>D22+D23+D24</f>
        <v/>
      </c>
      <c r="E25" s="69">
        <f>E22+E23+E24</f>
        <v/>
      </c>
      <c r="F25" s="69">
        <f>F22+F23+F24</f>
        <v/>
      </c>
    </row>
    <row r="26">
      <c r="A26" s="16" t="inlineStr">
        <is>
          <t>Total L + E</t>
        </is>
      </c>
      <c r="B26" s="69">
        <f>B21+B25</f>
        <v/>
      </c>
      <c r="C26" s="69">
        <f>C21+C25</f>
        <v/>
      </c>
      <c r="D26" s="69">
        <f>D21+D25</f>
        <v/>
      </c>
      <c r="E26" s="69">
        <f>E21+E25</f>
        <v/>
      </c>
      <c r="F26" s="69">
        <f>F21+F25</f>
        <v/>
      </c>
    </row>
    <row r="27">
      <c r="A27" s="25" t="inlineStr">
        <is>
          <t>Parity check (Total A - L - E)</t>
        </is>
      </c>
      <c r="B27" s="71">
        <f>B15-B26</f>
        <v/>
      </c>
      <c r="C27" s="71">
        <f>C15-C26</f>
        <v/>
      </c>
      <c r="D27" s="71">
        <f>D15-D26</f>
        <v/>
      </c>
      <c r="E27" s="71">
        <f>E15-E26</f>
        <v/>
      </c>
      <c r="F27" s="71">
        <f>F15-F26</f>
        <v/>
      </c>
    </row>
    <row r="28"/>
    <row r="29">
      <c r="A29" s="4" t="inlineStr">
        <is>
          <t>PRO-FORMA CREDIT STATISTICS</t>
        </is>
      </c>
      <c r="B29" s="4" t="n"/>
      <c r="C29" s="4" t="n"/>
      <c r="D29" s="4" t="n"/>
      <c r="E29" s="4" t="n"/>
      <c r="F29" s="4" t="n"/>
    </row>
    <row r="30">
      <c r="A30" s="13" t="inlineStr">
        <is>
          <t>Total debt ($B)</t>
        </is>
      </c>
      <c r="F30" s="71">
        <f>F19</f>
        <v/>
      </c>
    </row>
    <row r="31">
      <c r="A31" s="13" t="inlineStr">
        <is>
          <t>Total cap ($B)</t>
        </is>
      </c>
      <c r="F31" s="71">
        <f>F19+F25</f>
        <v/>
      </c>
    </row>
    <row r="32">
      <c r="A32" s="13" t="inlineStr">
        <is>
          <t>Debt / Capital</t>
        </is>
      </c>
      <c r="F32" s="77">
        <f>F30/F31</f>
        <v/>
      </c>
    </row>
    <row r="33">
      <c r="A33" s="13" t="inlineStr">
        <is>
          <t>LTM PPNR proxy ($B)</t>
        </is>
      </c>
      <c r="F33" s="68" t="n">
        <v>22</v>
      </c>
    </row>
    <row r="34">
      <c r="A34" s="13" t="inlineStr">
        <is>
          <t>Debt / PPNR (x)</t>
        </is>
      </c>
      <c r="F34" s="78">
        <f>F30/F33</f>
        <v/>
      </c>
    </row>
    <row r="35"/>
    <row r="36">
      <c r="A36" s="20" t="inlineStr">
        <is>
          <t>Source: COF Q1 2025 10-Q and DFS Q1 2025 10-Q balance sheets (estimated). PPA adjustments per COF Q2 2025 10-Q, Note 3. Bank-deal credit stats use PPNR as the EBITDA analogue.</t>
        </is>
      </c>
    </row>
    <row r="37">
      <c r="A37" s="20" t="inlineStr">
        <is>
          <t>Note: BS estimates marked in blue are approximate, anchored to disclosed totals; tie out individual lines to filings before public sharing.</t>
        </is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tabColor rgb="FF4F81BD"/>
    <outlinePr summaryBelow="1" summaryRight="1"/>
    <pageSetUpPr/>
  </sheetPr>
  <dimension ref="A1:H19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" sqref="A1"/>
    </sheetView>
  </sheetViews>
  <sheetFormatPr baseColWidth="8" defaultRowHeight="15"/>
  <cols>
    <col width="46.7109375" customWidth="1" min="1" max="1"/>
    <col width="13.7109375" customWidth="1" min="2" max="8"/>
  </cols>
  <sheetData>
    <row r="1">
      <c r="A1" s="1" t="inlineStr">
        <is>
          <t>Capital Walk-Down · CET1 Build Through 2028</t>
        </is>
      </c>
    </row>
    <row r="2">
      <c r="A2" s="2" t="inlineStr">
        <is>
          <t>Capital One / Discover · 1-Year Retrospective · $M unless noted</t>
        </is>
      </c>
    </row>
    <row r="3"/>
    <row r="4">
      <c r="B4" s="11" t="inlineStr">
        <is>
          <t>Q1 2025A</t>
        </is>
      </c>
      <c r="C4" s="11" t="inlineStr">
        <is>
          <t>Q2 2025A</t>
        </is>
      </c>
      <c r="D4" s="11" t="inlineStr">
        <is>
          <t>Q3 2025E</t>
        </is>
      </c>
      <c r="E4" s="11" t="inlineStr">
        <is>
          <t>Q4 2025E</t>
        </is>
      </c>
      <c r="F4" s="11" t="inlineStr">
        <is>
          <t>FY 2026E</t>
        </is>
      </c>
      <c r="G4" s="11" t="inlineStr">
        <is>
          <t>FY 2027E</t>
        </is>
      </c>
      <c r="H4" s="11" t="inlineStr">
        <is>
          <t>FY 2028E</t>
        </is>
      </c>
    </row>
    <row r="5">
      <c r="A5" s="4" t="inlineStr">
        <is>
          <t>CAPITAL ($B)</t>
        </is>
      </c>
      <c r="B5" s="4" t="n"/>
      <c r="C5" s="4" t="n"/>
      <c r="D5" s="4" t="n"/>
      <c r="E5" s="4" t="n"/>
      <c r="F5" s="4" t="n"/>
      <c r="G5" s="4" t="n"/>
      <c r="H5" s="4" t="n"/>
    </row>
    <row r="6">
      <c r="A6" s="13" t="inlineStr">
        <is>
          <t>CET1 capital ($B)</t>
        </is>
      </c>
      <c r="B6" s="68" t="n">
        <v>42</v>
      </c>
      <c r="C6" s="68" t="n">
        <v>58</v>
      </c>
      <c r="D6" s="68" t="n">
        <v>59</v>
      </c>
      <c r="E6" s="68" t="n">
        <v>60</v>
      </c>
      <c r="F6" s="68" t="n">
        <v>64</v>
      </c>
      <c r="G6" s="68" t="n">
        <v>68</v>
      </c>
      <c r="H6" s="68" t="n">
        <v>72</v>
      </c>
    </row>
    <row r="7">
      <c r="A7" s="13" t="inlineStr">
        <is>
          <t>Risk-weighted assets ($B)</t>
        </is>
      </c>
      <c r="B7" s="68" t="n">
        <v>310</v>
      </c>
      <c r="C7" s="68" t="n">
        <v>415</v>
      </c>
      <c r="D7" s="68" t="n">
        <v>420</v>
      </c>
      <c r="E7" s="68" t="n">
        <v>425</v>
      </c>
      <c r="F7" s="68" t="n">
        <v>445</v>
      </c>
      <c r="G7" s="68" t="n">
        <v>470</v>
      </c>
      <c r="H7" s="68" t="n">
        <v>495</v>
      </c>
    </row>
    <row r="8"/>
    <row r="9">
      <c r="A9" s="4" t="inlineStr">
        <is>
          <t>CAPITAL RATIOS</t>
        </is>
      </c>
      <c r="B9" s="4" t="n"/>
      <c r="C9" s="4" t="n"/>
      <c r="D9" s="4" t="n"/>
      <c r="E9" s="4" t="n"/>
      <c r="F9" s="4" t="n"/>
      <c r="G9" s="4" t="n"/>
      <c r="H9" s="4" t="n"/>
    </row>
    <row r="10">
      <c r="A10" s="16" t="inlineStr">
        <is>
          <t>CET1 ratio</t>
        </is>
      </c>
      <c r="B10" s="79">
        <f>B6/B7</f>
        <v/>
      </c>
      <c r="C10" s="79">
        <f>C6/C7</f>
        <v/>
      </c>
      <c r="D10" s="79">
        <f>D6/D7</f>
        <v/>
      </c>
      <c r="E10" s="79">
        <f>E6/E7</f>
        <v/>
      </c>
      <c r="F10" s="79">
        <f>F6/F7</f>
        <v/>
      </c>
      <c r="G10" s="79">
        <f>G6/G7</f>
        <v/>
      </c>
      <c r="H10" s="79">
        <f>H6/H7</f>
        <v/>
      </c>
    </row>
    <row r="11">
      <c r="A11" s="13" t="inlineStr">
        <is>
          <t>Tier 1 ratio (CET1 + ~50bps)</t>
        </is>
      </c>
      <c r="B11" s="77">
        <f>B10+0.005</f>
        <v/>
      </c>
      <c r="C11" s="77">
        <f>C10+0.005</f>
        <v/>
      </c>
      <c r="D11" s="77">
        <f>D10+0.005</f>
        <v/>
      </c>
      <c r="E11" s="77">
        <f>E10+0.005</f>
        <v/>
      </c>
      <c r="F11" s="77">
        <f>F10+0.005</f>
        <v/>
      </c>
      <c r="G11" s="77">
        <f>G10+0.005</f>
        <v/>
      </c>
      <c r="H11" s="77">
        <f>H10+0.005</f>
        <v/>
      </c>
    </row>
    <row r="12">
      <c r="A12" s="13" t="inlineStr">
        <is>
          <t>Total capital ratio (Tier 1 + ~200bps)</t>
        </is>
      </c>
      <c r="B12" s="77">
        <f>B11+0.02</f>
        <v/>
      </c>
      <c r="C12" s="77">
        <f>C11+0.02</f>
        <v/>
      </c>
      <c r="D12" s="77">
        <f>D11+0.02</f>
        <v/>
      </c>
      <c r="E12" s="77">
        <f>E11+0.02</f>
        <v/>
      </c>
      <c r="F12" s="77">
        <f>F11+0.02</f>
        <v/>
      </c>
      <c r="G12" s="77">
        <f>G11+0.02</f>
        <v/>
      </c>
      <c r="H12" s="77">
        <f>H11+0.02</f>
        <v/>
      </c>
    </row>
    <row r="13"/>
    <row r="14">
      <c r="A14" s="4" t="inlineStr">
        <is>
          <t>REGULATORY BUFFER</t>
        </is>
      </c>
      <c r="B14" s="4" t="n"/>
      <c r="C14" s="4" t="n"/>
      <c r="D14" s="4" t="n"/>
      <c r="E14" s="4" t="n"/>
      <c r="F14" s="4" t="n"/>
      <c r="G14" s="4" t="n"/>
      <c r="H14" s="4" t="n"/>
    </row>
    <row r="15">
      <c r="A15" s="13" t="inlineStr">
        <is>
          <t>SCB requirement (CET1 min + buffer)</t>
        </is>
      </c>
      <c r="B15" s="60" t="n">
        <v>0.07000000000000001</v>
      </c>
      <c r="C15" s="60" t="n">
        <v>0.07000000000000001</v>
      </c>
      <c r="D15" s="60" t="n">
        <v>0.07000000000000001</v>
      </c>
      <c r="E15" s="60" t="n">
        <v>0.07000000000000001</v>
      </c>
      <c r="F15" s="60" t="n">
        <v>0.07000000000000001</v>
      </c>
      <c r="G15" s="60" t="n">
        <v>0.07000000000000001</v>
      </c>
      <c r="H15" s="60" t="n">
        <v>0.07000000000000001</v>
      </c>
    </row>
    <row r="16">
      <c r="A16" s="16" t="inlineStr">
        <is>
          <t>Buffer above SCB minimum (pp)</t>
        </is>
      </c>
      <c r="B16" s="80">
        <f>(B10-B15)*100</f>
        <v/>
      </c>
      <c r="C16" s="80">
        <f>(C10-C15)*100</f>
        <v/>
      </c>
      <c r="D16" s="80">
        <f>(D10-D15)*100</f>
        <v/>
      </c>
      <c r="E16" s="80">
        <f>(E10-E15)*100</f>
        <v/>
      </c>
      <c r="F16" s="80">
        <f>(F10-F15)*100</f>
        <v/>
      </c>
      <c r="G16" s="80">
        <f>(G10-G15)*100</f>
        <v/>
      </c>
      <c r="H16" s="80">
        <f>(H10-H15)*100</f>
        <v/>
      </c>
    </row>
    <row r="17"/>
    <row r="18">
      <c r="A18" s="20" t="inlineStr">
        <is>
          <t>Source: COF Q1 2025 and Q2 2025 earnings releases. Q1 2025 CET1 ratio anchored to 13.6%; Q2 2025 CET1 ratio anchored to 14.0% (the post-close expansion that ran against consensus).</t>
        </is>
      </c>
    </row>
    <row r="19">
      <c r="A19" s="20" t="inlineStr">
        <is>
          <t>Forecast (Q3 2025E onwards): author's model. Assumes retained earnings of ~$1B/quarter net of buybacks and ~6% RWA growth; capital return resumes Q4 2025. Estimates in blue.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Subhankar Shukla</dc:creator>
  <dc:title>Capital One / Discover: One-Year Retrospective</dc:title>
  <dc:subject>Independent M&amp;A teardown</dc:subject>
  <dcterms:created xsi:type="dcterms:W3CDTF">2026-05-15T16:45:06Z</dcterms:created>
  <dcterms:modified xsi:type="dcterms:W3CDTF">2026-05-15T17:06:03Z</dcterms:modified>
  <cp:lastModifiedBy>Subhankar Shukla</cp:lastModifiedBy>
  <cp:keywords>Capital One, Discover, M&amp;A, bank, accretion</cp:keywords>
</cp:coreProperties>
</file>